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17.7.2024\Izvršenje 30.6.2024\"/>
    </mc:Choice>
  </mc:AlternateContent>
  <xr:revisionPtr revIDLastSave="0" documentId="13_ncr:1_{6C49C3F0-9D37-46AF-9F00-3EF000BC883A}" xr6:coauthVersionLast="47" xr6:coauthVersionMax="47" xr10:uidLastSave="{00000000-0000-0000-0000-000000000000}"/>
  <bookViews>
    <workbookView xWindow="-120" yWindow="-120" windowWidth="29040" windowHeight="15840" tabRatio="929" firstSheet="1" activeTab="9" xr2:uid="{00000000-000D-0000-FFFF-FFFF00000000}"/>
  </bookViews>
  <sheets>
    <sheet name="SAŽETAK" sheetId="16" r:id="rId1"/>
    <sheet name="PRIHODI-RASHODI ek. klasifikaci" sheetId="9" r:id="rId2"/>
    <sheet name="PRIHODI-RASHODI izv. financira" sheetId="18" r:id="rId3"/>
    <sheet name="RASHODI funk. klasifikacija" sheetId="20" r:id="rId4"/>
    <sheet name="račun fin.-ekonomska" sheetId="22" r:id="rId5"/>
    <sheet name="račun fin.-izvori" sheetId="24" r:id="rId6"/>
    <sheet name="Posebni dio - org. klas." sheetId="21" r:id="rId7"/>
    <sheet name="Posebni dio - prog. klas." sheetId="10" r:id="rId8"/>
    <sheet name="PRIHODI ZA VIJEĆE " sheetId="13" r:id="rId9"/>
    <sheet name="RASHODI ZA VIJEĆE" sheetId="14" r:id="rId10"/>
  </sheets>
  <definedNames>
    <definedName name="_xlnm.Print_Area" localSheetId="6">'Posebni dio - org. klas.'!$A$1:$J$39</definedName>
    <definedName name="_xlnm.Print_Area" localSheetId="7">'Posebni dio - prog. klas.'!$A$1:$S$420</definedName>
    <definedName name="_xlnm.Print_Area" localSheetId="8">'PRIHODI ZA VIJEĆE '!$A$1:$J$134</definedName>
    <definedName name="_xlnm.Print_Area" localSheetId="1">'PRIHODI-RASHODI ek. klasifikaci'!$A$1:$M$159</definedName>
    <definedName name="_xlnm.Print_Area" localSheetId="2">'PRIHODI-RASHODI izv. financira'!$A$1:$J$38</definedName>
    <definedName name="_xlnm.Print_Area" localSheetId="5">'račun fin.-izvori'!$A$1:$J$22</definedName>
    <definedName name="_xlnm.Print_Area" localSheetId="3">'RASHODI funk. klasifikacija'!$A$1:$J$89</definedName>
    <definedName name="_xlnm.Print_Area" localSheetId="9">'RASHODI ZA VIJEĆE'!$A$2:$K$569</definedName>
    <definedName name="_xlnm.Print_Area" localSheetId="0">SAŽETAK!$A$1:$J$59</definedName>
  </definedNames>
  <calcPr calcId="191029"/>
</workbook>
</file>

<file path=xl/calcChain.xml><?xml version="1.0" encoding="utf-8"?>
<calcChain xmlns="http://schemas.openxmlformats.org/spreadsheetml/2006/main">
  <c r="F283" i="14" l="1"/>
  <c r="E243" i="14"/>
  <c r="E362" i="14"/>
  <c r="E147" i="14"/>
  <c r="D87" i="13"/>
  <c r="S410" i="10" l="1"/>
  <c r="S409" i="10"/>
  <c r="S408" i="10"/>
  <c r="S407" i="10"/>
  <c r="S406" i="10"/>
  <c r="S405" i="10"/>
  <c r="S404" i="10"/>
  <c r="S403" i="10"/>
  <c r="S402" i="10"/>
  <c r="S401" i="10"/>
  <c r="S400" i="10"/>
  <c r="S399" i="10"/>
  <c r="S398" i="10"/>
  <c r="S397" i="10"/>
  <c r="S396" i="10"/>
  <c r="S395" i="10"/>
  <c r="S394" i="10"/>
  <c r="S393" i="10"/>
  <c r="S392" i="10"/>
  <c r="S391" i="10"/>
  <c r="S390" i="10"/>
  <c r="S389" i="10"/>
  <c r="S388" i="10"/>
  <c r="S387" i="10"/>
  <c r="S386" i="10"/>
  <c r="S385" i="10"/>
  <c r="S384" i="10"/>
  <c r="S383" i="10"/>
  <c r="S382" i="10"/>
  <c r="S381" i="10"/>
  <c r="S379" i="10"/>
  <c r="S378" i="10"/>
  <c r="S376" i="10"/>
  <c r="S375" i="10"/>
  <c r="S374" i="10"/>
  <c r="S373" i="10"/>
  <c r="S372" i="10"/>
  <c r="S371" i="10"/>
  <c r="S370" i="10"/>
  <c r="S369" i="10"/>
  <c r="S368" i="10"/>
  <c r="S367" i="10"/>
  <c r="S366" i="10"/>
  <c r="S365" i="10"/>
  <c r="S364" i="10"/>
  <c r="S363" i="10"/>
  <c r="S362" i="10"/>
  <c r="S361" i="10"/>
  <c r="S360" i="10"/>
  <c r="S359" i="10"/>
  <c r="S358" i="10"/>
  <c r="S357" i="10"/>
  <c r="S356" i="10"/>
  <c r="S355" i="10"/>
  <c r="S354" i="10"/>
  <c r="S353" i="10"/>
  <c r="S352" i="10"/>
  <c r="S351" i="10"/>
  <c r="S350" i="10"/>
  <c r="S349" i="10"/>
  <c r="S348" i="10"/>
  <c r="S347" i="10"/>
  <c r="S346" i="10"/>
  <c r="S345" i="10"/>
  <c r="S344" i="10"/>
  <c r="S342" i="10"/>
  <c r="S341" i="10"/>
  <c r="S340" i="10"/>
  <c r="S339" i="10"/>
  <c r="S338" i="10"/>
  <c r="S337" i="10"/>
  <c r="S336" i="10"/>
  <c r="S335" i="10"/>
  <c r="S334" i="10"/>
  <c r="S332" i="10"/>
  <c r="S330" i="10"/>
  <c r="S329" i="10"/>
  <c r="S328" i="10"/>
  <c r="S327" i="10"/>
  <c r="S325" i="10"/>
  <c r="S323" i="10"/>
  <c r="S322" i="10"/>
  <c r="S321" i="10"/>
  <c r="S319" i="10"/>
  <c r="S317" i="10"/>
  <c r="S316" i="10"/>
  <c r="S315" i="10"/>
  <c r="S314" i="10"/>
  <c r="S313" i="10"/>
  <c r="S304" i="10"/>
  <c r="S303" i="10"/>
  <c r="S302" i="10"/>
  <c r="S301" i="10"/>
  <c r="S300" i="10"/>
  <c r="S299" i="10"/>
  <c r="S298" i="10"/>
  <c r="S296" i="10"/>
  <c r="S295" i="10"/>
  <c r="S294" i="10"/>
  <c r="S293" i="10"/>
  <c r="S292" i="10"/>
  <c r="S291" i="10"/>
  <c r="S290" i="10"/>
  <c r="S289" i="10"/>
  <c r="S288" i="10"/>
  <c r="S286" i="10"/>
  <c r="S284" i="10"/>
  <c r="S283" i="10"/>
  <c r="S282" i="10"/>
  <c r="S280" i="10"/>
  <c r="S279" i="10"/>
  <c r="S278" i="10"/>
  <c r="S277" i="10"/>
  <c r="S276" i="10"/>
  <c r="S275" i="10"/>
  <c r="S274" i="10"/>
  <c r="S273" i="10"/>
  <c r="S272" i="10"/>
  <c r="S271" i="10"/>
  <c r="S270" i="10"/>
  <c r="S268" i="10"/>
  <c r="S267" i="10"/>
  <c r="S266" i="10"/>
  <c r="S265" i="10"/>
  <c r="S264" i="10"/>
  <c r="S263" i="10"/>
  <c r="S262" i="10"/>
  <c r="S261" i="10"/>
  <c r="S260" i="10"/>
  <c r="S259" i="10"/>
  <c r="S258" i="10"/>
  <c r="S257" i="10"/>
  <c r="S256" i="10"/>
  <c r="S255" i="10"/>
  <c r="S254" i="10"/>
  <c r="S253" i="10"/>
  <c r="S252" i="10"/>
  <c r="S251" i="10"/>
  <c r="S250" i="10"/>
  <c r="S249" i="10"/>
  <c r="S248" i="10"/>
  <c r="S246" i="10"/>
  <c r="S244" i="10"/>
  <c r="S243" i="10"/>
  <c r="S242" i="10"/>
  <c r="S240" i="10"/>
  <c r="S238" i="10"/>
  <c r="S237" i="10"/>
  <c r="S236" i="10"/>
  <c r="S235" i="10"/>
  <c r="S234" i="10"/>
  <c r="S233" i="10"/>
  <c r="S232" i="10"/>
  <c r="S231" i="10"/>
  <c r="S230" i="10"/>
  <c r="S228" i="10"/>
  <c r="S226" i="10"/>
  <c r="S225" i="10"/>
  <c r="S224" i="10"/>
  <c r="S223" i="10"/>
  <c r="S222" i="10"/>
  <c r="S220" i="10"/>
  <c r="S219" i="10"/>
  <c r="S218" i="10"/>
  <c r="S216" i="10"/>
  <c r="S214" i="10"/>
  <c r="S213" i="10"/>
  <c r="S212" i="10"/>
  <c r="S211" i="10"/>
  <c r="S210" i="10"/>
  <c r="S208" i="10"/>
  <c r="S206" i="10"/>
  <c r="S205" i="10"/>
  <c r="S204" i="10"/>
  <c r="S202" i="10"/>
  <c r="S200" i="10"/>
  <c r="S199" i="10"/>
  <c r="S198" i="10"/>
  <c r="S197" i="10"/>
  <c r="S196" i="10"/>
  <c r="S195" i="10"/>
  <c r="S194" i="10"/>
  <c r="S193" i="10"/>
  <c r="S192" i="10"/>
  <c r="S190" i="10"/>
  <c r="S189" i="10"/>
  <c r="S187" i="10"/>
  <c r="S186" i="10"/>
  <c r="S185" i="10"/>
  <c r="S184" i="10"/>
  <c r="S183" i="10"/>
  <c r="S182" i="10"/>
  <c r="S180" i="10"/>
  <c r="S179" i="10"/>
  <c r="S178" i="10"/>
  <c r="S177" i="10"/>
  <c r="S176" i="10"/>
  <c r="S175" i="10"/>
  <c r="S173" i="10"/>
  <c r="S171" i="10"/>
  <c r="S170" i="10"/>
  <c r="S169" i="10"/>
  <c r="S167" i="10"/>
  <c r="S165" i="10"/>
  <c r="S164" i="10"/>
  <c r="S163" i="10"/>
  <c r="S162" i="10"/>
  <c r="S161" i="10"/>
  <c r="S160" i="10"/>
  <c r="S158" i="10"/>
  <c r="S157" i="10"/>
  <c r="S155" i="10"/>
  <c r="S153" i="10"/>
  <c r="S152" i="10"/>
  <c r="S151" i="10"/>
  <c r="S150" i="10"/>
  <c r="S149" i="10"/>
  <c r="S148" i="10"/>
  <c r="S147" i="10"/>
  <c r="S146" i="10"/>
  <c r="S144" i="10"/>
  <c r="S142" i="10"/>
  <c r="S141" i="10"/>
  <c r="S140" i="10"/>
  <c r="S139" i="10"/>
  <c r="S138" i="10"/>
  <c r="S137" i="10"/>
  <c r="S136" i="10"/>
  <c r="S135" i="10"/>
  <c r="S134" i="10"/>
  <c r="S133" i="10"/>
  <c r="S132" i="10"/>
  <c r="S131" i="10"/>
  <c r="S130" i="10"/>
  <c r="S129" i="10"/>
  <c r="S127" i="10"/>
  <c r="S126" i="10"/>
  <c r="S125" i="10"/>
  <c r="S124" i="10"/>
  <c r="S122" i="10"/>
  <c r="S121" i="10"/>
  <c r="S120" i="10"/>
  <c r="S119" i="10"/>
  <c r="S118" i="10"/>
  <c r="S117" i="10"/>
  <c r="S116" i="10"/>
  <c r="S115" i="10"/>
  <c r="S113" i="10"/>
  <c r="S111" i="10"/>
  <c r="S110" i="10"/>
  <c r="S109" i="10"/>
  <c r="S108" i="10"/>
  <c r="S107" i="10"/>
  <c r="S106" i="10"/>
  <c r="S105" i="10"/>
  <c r="S104" i="10"/>
  <c r="S103" i="10"/>
  <c r="S102" i="10"/>
  <c r="S101" i="10"/>
  <c r="S100" i="10"/>
  <c r="S99" i="10"/>
  <c r="S98" i="10"/>
  <c r="S96" i="10"/>
  <c r="S94" i="10"/>
  <c r="S93" i="10"/>
  <c r="S92" i="10"/>
  <c r="S91" i="10"/>
  <c r="S90" i="10"/>
  <c r="S89" i="10"/>
  <c r="S87" i="10"/>
  <c r="S85" i="10"/>
  <c r="S84" i="10"/>
  <c r="S83" i="10"/>
  <c r="S82" i="10"/>
  <c r="S81" i="10"/>
  <c r="S80" i="10"/>
  <c r="S79" i="10"/>
  <c r="S77" i="10"/>
  <c r="S75" i="10"/>
  <c r="S74" i="10"/>
  <c r="S73" i="10"/>
  <c r="S71" i="10"/>
  <c r="S70" i="10"/>
  <c r="S69" i="10"/>
  <c r="S68" i="10"/>
  <c r="S67" i="10"/>
  <c r="S66" i="10"/>
  <c r="S65" i="10"/>
  <c r="S63" i="10"/>
  <c r="S62" i="10"/>
  <c r="S61" i="10"/>
  <c r="S59" i="10"/>
  <c r="S58" i="10"/>
  <c r="S55" i="10"/>
  <c r="S54" i="10"/>
  <c r="S53" i="10"/>
  <c r="S52" i="10"/>
  <c r="S51" i="10"/>
  <c r="S50" i="10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J39" i="21"/>
  <c r="J38" i="21"/>
  <c r="J37" i="21"/>
  <c r="J36" i="21"/>
  <c r="J35" i="21"/>
  <c r="J34" i="21"/>
  <c r="J33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22" i="24"/>
  <c r="J21" i="24"/>
  <c r="J20" i="24"/>
  <c r="J19" i="24"/>
  <c r="J18" i="24"/>
  <c r="J17" i="24"/>
  <c r="J16" i="24"/>
  <c r="J15" i="24"/>
  <c r="J14" i="24"/>
  <c r="J13" i="24"/>
  <c r="J12" i="24"/>
  <c r="J11" i="24"/>
  <c r="J10" i="24"/>
  <c r="M13" i="22"/>
  <c r="M159" i="9"/>
  <c r="M158" i="9"/>
  <c r="M157" i="9"/>
  <c r="M156" i="9"/>
  <c r="M155" i="9"/>
  <c r="M154" i="9"/>
  <c r="M153" i="9"/>
  <c r="M152" i="9"/>
  <c r="M151" i="9"/>
  <c r="M150" i="9"/>
  <c r="M149" i="9"/>
  <c r="M148" i="9"/>
  <c r="M147" i="9"/>
  <c r="M146" i="9"/>
  <c r="M145" i="9"/>
  <c r="M144" i="9"/>
  <c r="M143" i="9"/>
  <c r="M142" i="9"/>
  <c r="M141" i="9"/>
  <c r="M140" i="9"/>
  <c r="M139" i="9"/>
  <c r="M137" i="9"/>
  <c r="M136" i="9"/>
  <c r="M135" i="9"/>
  <c r="M134" i="9"/>
  <c r="M133" i="9"/>
  <c r="M132" i="9"/>
  <c r="M131" i="9"/>
  <c r="M130" i="9"/>
  <c r="M129" i="9"/>
  <c r="M128" i="9"/>
  <c r="M127" i="9"/>
  <c r="M126" i="9"/>
  <c r="M125" i="9"/>
  <c r="M124" i="9"/>
  <c r="M119" i="9"/>
  <c r="M118" i="9"/>
  <c r="M117" i="9"/>
  <c r="M116" i="9"/>
  <c r="M115" i="9"/>
  <c r="M114" i="9"/>
  <c r="M113" i="9"/>
  <c r="M112" i="9"/>
  <c r="M111" i="9"/>
  <c r="M110" i="9"/>
  <c r="M109" i="9"/>
  <c r="M108" i="9"/>
  <c r="M107" i="9"/>
  <c r="M106" i="9"/>
  <c r="M105" i="9"/>
  <c r="M104" i="9"/>
  <c r="M103" i="9"/>
  <c r="M102" i="9"/>
  <c r="M101" i="9"/>
  <c r="M100" i="9"/>
  <c r="M99" i="9"/>
  <c r="M98" i="9"/>
  <c r="M97" i="9"/>
  <c r="M96" i="9"/>
  <c r="M95" i="9"/>
  <c r="M94" i="9"/>
  <c r="M93" i="9"/>
  <c r="M92" i="9"/>
  <c r="M91" i="9"/>
  <c r="M90" i="9"/>
  <c r="M89" i="9"/>
  <c r="M88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68" i="9"/>
  <c r="M67" i="9"/>
  <c r="M66" i="9"/>
  <c r="M65" i="9"/>
  <c r="M64" i="9"/>
  <c r="M63" i="9"/>
  <c r="M62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E48" i="16" l="1"/>
  <c r="F48" i="16"/>
  <c r="G48" i="16"/>
  <c r="K15" i="14"/>
  <c r="G15" i="14"/>
  <c r="H15" i="14"/>
  <c r="I15" i="14"/>
  <c r="I7" i="14" s="1"/>
  <c r="D15" i="14"/>
  <c r="D7" i="14" s="1"/>
  <c r="G12" i="14"/>
  <c r="G7" i="14" s="1"/>
  <c r="H12" i="14"/>
  <c r="I12" i="14"/>
  <c r="D12" i="14"/>
  <c r="H7" i="14"/>
  <c r="J48" i="16"/>
  <c r="M180" i="10" l="1"/>
  <c r="N180" i="10"/>
  <c r="O180" i="10"/>
  <c r="P180" i="10"/>
  <c r="R180" i="10" s="1"/>
  <c r="L180" i="10"/>
  <c r="P179" i="10"/>
  <c r="O179" i="10"/>
  <c r="N179" i="10"/>
  <c r="M179" i="10"/>
  <c r="L179" i="10"/>
  <c r="D14" i="13"/>
  <c r="E14" i="13"/>
  <c r="F14" i="13"/>
  <c r="G14" i="13"/>
  <c r="H14" i="13"/>
  <c r="C14" i="13"/>
  <c r="Q180" i="10" l="1"/>
  <c r="F28" i="9" l="1"/>
  <c r="G28" i="9"/>
  <c r="H28" i="9"/>
  <c r="I28" i="9"/>
  <c r="J28" i="9"/>
  <c r="J31" i="9"/>
  <c r="J29" i="9"/>
  <c r="F31" i="9"/>
  <c r="G31" i="9"/>
  <c r="H31" i="9"/>
  <c r="I31" i="9"/>
  <c r="J32" i="9"/>
  <c r="J35" i="9"/>
  <c r="J37" i="9"/>
  <c r="J38" i="9"/>
  <c r="J39" i="9"/>
  <c r="J41" i="9"/>
  <c r="J40" i="9" s="1"/>
  <c r="J44" i="9"/>
  <c r="J45" i="9"/>
  <c r="J47" i="9"/>
  <c r="J46" i="9" s="1"/>
  <c r="J48" i="9"/>
  <c r="J50" i="9"/>
  <c r="J51" i="9"/>
  <c r="J49" i="9" s="1"/>
  <c r="J54" i="9"/>
  <c r="J55" i="9"/>
  <c r="J57" i="9"/>
  <c r="J56" i="9" s="1"/>
  <c r="J60" i="9"/>
  <c r="J59" i="9" s="1"/>
  <c r="J58" i="9" s="1"/>
  <c r="G32" i="9"/>
  <c r="H32" i="9"/>
  <c r="I32" i="9"/>
  <c r="F32" i="9"/>
  <c r="F30" i="9" s="1"/>
  <c r="M31" i="9" l="1"/>
  <c r="J34" i="9"/>
  <c r="M32" i="9"/>
  <c r="I30" i="9"/>
  <c r="M28" i="9"/>
  <c r="L32" i="9"/>
  <c r="K32" i="9"/>
  <c r="H30" i="9"/>
  <c r="J36" i="9"/>
  <c r="G30" i="9"/>
  <c r="H243" i="14"/>
  <c r="J33" i="9" l="1"/>
  <c r="E130" i="13"/>
  <c r="E128" i="13"/>
  <c r="E126" i="13"/>
  <c r="E125" i="13" s="1"/>
  <c r="E123" i="13"/>
  <c r="E122" i="13" s="1"/>
  <c r="E120" i="13"/>
  <c r="E119" i="13"/>
  <c r="E117" i="13"/>
  <c r="E116" i="13"/>
  <c r="E107" i="13"/>
  <c r="E105" i="13"/>
  <c r="E104" i="13" s="1"/>
  <c r="E102" i="13"/>
  <c r="E101" i="13" s="1"/>
  <c r="E99" i="13"/>
  <c r="E98" i="13" s="1"/>
  <c r="E96" i="13"/>
  <c r="E95" i="13"/>
  <c r="E87" i="13"/>
  <c r="E85" i="13"/>
  <c r="E84" i="13" s="1"/>
  <c r="E11" i="13" s="1"/>
  <c r="E82" i="13"/>
  <c r="E81" i="13" s="1"/>
  <c r="E79" i="13"/>
  <c r="E76" i="13"/>
  <c r="E75" i="13" s="1"/>
  <c r="E73" i="13"/>
  <c r="E70" i="13"/>
  <c r="E69" i="13" s="1"/>
  <c r="E65" i="13"/>
  <c r="E60" i="13"/>
  <c r="E57" i="13"/>
  <c r="E49" i="13"/>
  <c r="E46" i="13"/>
  <c r="E40" i="13"/>
  <c r="E35" i="13"/>
  <c r="E34" i="13" s="1"/>
  <c r="E32" i="13"/>
  <c r="E29" i="13"/>
  <c r="E26" i="13"/>
  <c r="E18" i="13"/>
  <c r="E13" i="13"/>
  <c r="E12" i="13"/>
  <c r="D130" i="13"/>
  <c r="D128" i="13"/>
  <c r="D126" i="13"/>
  <c r="D125" i="13"/>
  <c r="D123" i="13"/>
  <c r="D122" i="13" s="1"/>
  <c r="D120" i="13"/>
  <c r="D119" i="13"/>
  <c r="D117" i="13"/>
  <c r="D116" i="13"/>
  <c r="D102" i="13"/>
  <c r="D101" i="13"/>
  <c r="D94" i="13" s="1"/>
  <c r="D85" i="13"/>
  <c r="D84" i="13"/>
  <c r="D11" i="13" s="1"/>
  <c r="D82" i="13"/>
  <c r="D81" i="13" s="1"/>
  <c r="D79" i="13"/>
  <c r="D76" i="13"/>
  <c r="D75" i="13" s="1"/>
  <c r="D73" i="13"/>
  <c r="D70" i="13"/>
  <c r="D65" i="13"/>
  <c r="D60" i="13"/>
  <c r="D57" i="13"/>
  <c r="D49" i="13"/>
  <c r="D46" i="13"/>
  <c r="D40" i="13"/>
  <c r="D35" i="13"/>
  <c r="D34" i="13" s="1"/>
  <c r="D32" i="13"/>
  <c r="D29" i="13"/>
  <c r="D26" i="13"/>
  <c r="D18" i="13"/>
  <c r="D13" i="13"/>
  <c r="D12" i="13"/>
  <c r="F568" i="14"/>
  <c r="F566" i="14"/>
  <c r="F562" i="14"/>
  <c r="F561" i="14" s="1"/>
  <c r="F560" i="14" s="1"/>
  <c r="F558" i="14"/>
  <c r="F556" i="14"/>
  <c r="F554" i="14"/>
  <c r="F551" i="14"/>
  <c r="F548" i="14"/>
  <c r="F545" i="14"/>
  <c r="F542" i="14"/>
  <c r="F538" i="14"/>
  <c r="F535" i="14"/>
  <c r="F533" i="14"/>
  <c r="F530" i="14"/>
  <c r="F529" i="14" s="1"/>
  <c r="F526" i="14"/>
  <c r="F523" i="14"/>
  <c r="F519" i="14"/>
  <c r="F518" i="14" s="1"/>
  <c r="F516" i="14"/>
  <c r="F515" i="14" s="1"/>
  <c r="F503" i="14"/>
  <c r="F502" i="14"/>
  <c r="F14" i="14" s="1"/>
  <c r="F500" i="14"/>
  <c r="F499" i="14"/>
  <c r="F496" i="14"/>
  <c r="F495" i="14" s="1"/>
  <c r="F494" i="14" s="1"/>
  <c r="F491" i="14"/>
  <c r="F488" i="14"/>
  <c r="F485" i="14"/>
  <c r="F482" i="14"/>
  <c r="F481" i="14" s="1"/>
  <c r="F478" i="14"/>
  <c r="F476" i="14"/>
  <c r="F470" i="14"/>
  <c r="F467" i="14"/>
  <c r="F462" i="14"/>
  <c r="F459" i="14"/>
  <c r="F456" i="14"/>
  <c r="F453" i="14"/>
  <c r="F450" i="14"/>
  <c r="F448" i="14"/>
  <c r="F444" i="14"/>
  <c r="F441" i="14"/>
  <c r="F438" i="14"/>
  <c r="F433" i="14"/>
  <c r="F430" i="14"/>
  <c r="F428" i="14"/>
  <c r="F426" i="14"/>
  <c r="F423" i="14"/>
  <c r="F418" i="14"/>
  <c r="F411" i="14"/>
  <c r="F410" i="14" s="1"/>
  <c r="F408" i="14"/>
  <c r="F405" i="14"/>
  <c r="F404" i="14" s="1"/>
  <c r="F393" i="14"/>
  <c r="F392" i="14" s="1"/>
  <c r="F389" i="14"/>
  <c r="F387" i="14"/>
  <c r="F380" i="14"/>
  <c r="F377" i="14"/>
  <c r="F372" i="14"/>
  <c r="F371" i="14" s="1"/>
  <c r="F366" i="14"/>
  <c r="F362" i="14"/>
  <c r="F347" i="14"/>
  <c r="F343" i="14"/>
  <c r="F341" i="14"/>
  <c r="F333" i="14"/>
  <c r="F331" i="14"/>
  <c r="F328" i="14"/>
  <c r="F326" i="14"/>
  <c r="F319" i="14"/>
  <c r="F316" i="14"/>
  <c r="F300" i="14"/>
  <c r="F272" i="14"/>
  <c r="F270" i="14"/>
  <c r="F268" i="14"/>
  <c r="F257" i="14"/>
  <c r="F256" i="14" s="1"/>
  <c r="F243" i="14"/>
  <c r="F242" i="14" s="1"/>
  <c r="F236" i="14"/>
  <c r="F10" i="14" s="1"/>
  <c r="F231" i="14"/>
  <c r="F230" i="14" s="1"/>
  <c r="F226" i="14"/>
  <c r="F225" i="14" s="1"/>
  <c r="F223" i="14"/>
  <c r="F222" i="14" s="1"/>
  <c r="F215" i="14"/>
  <c r="F214" i="14" s="1"/>
  <c r="F213" i="14" s="1"/>
  <c r="F210" i="14"/>
  <c r="F208" i="14"/>
  <c r="F203" i="14"/>
  <c r="F201" i="14"/>
  <c r="F193" i="14"/>
  <c r="F188" i="14"/>
  <c r="F178" i="14"/>
  <c r="F175" i="14"/>
  <c r="F160" i="14"/>
  <c r="F156" i="14"/>
  <c r="F147" i="14"/>
  <c r="F143" i="14"/>
  <c r="F141" i="14"/>
  <c r="F122" i="14"/>
  <c r="F118" i="14"/>
  <c r="F98" i="14"/>
  <c r="F93" i="14"/>
  <c r="F90" i="14"/>
  <c r="F87" i="14"/>
  <c r="F83" i="14"/>
  <c r="F75" i="14"/>
  <c r="F65" i="14"/>
  <c r="F60" i="14"/>
  <c r="F55" i="14"/>
  <c r="F52" i="14"/>
  <c r="F46" i="14"/>
  <c r="F40" i="14"/>
  <c r="F33" i="14"/>
  <c r="F32" i="14" s="1"/>
  <c r="F25" i="14"/>
  <c r="F24" i="14" s="1"/>
  <c r="F20" i="14"/>
  <c r="F19" i="14"/>
  <c r="E568" i="14"/>
  <c r="E566" i="14"/>
  <c r="E562" i="14"/>
  <c r="E561" i="14" s="1"/>
  <c r="E560" i="14" s="1"/>
  <c r="E558" i="14"/>
  <c r="E556" i="14"/>
  <c r="E554" i="14"/>
  <c r="E551" i="14"/>
  <c r="E548" i="14"/>
  <c r="E545" i="14"/>
  <c r="E542" i="14"/>
  <c r="E538" i="14"/>
  <c r="E537" i="14" s="1"/>
  <c r="E535" i="14"/>
  <c r="E533" i="14"/>
  <c r="E530" i="14"/>
  <c r="E526" i="14"/>
  <c r="E523" i="14"/>
  <c r="E519" i="14"/>
  <c r="E518" i="14" s="1"/>
  <c r="E516" i="14"/>
  <c r="E515" i="14" s="1"/>
  <c r="E503" i="14"/>
  <c r="E502" i="14" s="1"/>
  <c r="E14" i="14" s="1"/>
  <c r="C45" i="16" s="1"/>
  <c r="E500" i="14"/>
  <c r="E499" i="14" s="1"/>
  <c r="E496" i="14"/>
  <c r="E495" i="14" s="1"/>
  <c r="E494" i="14" s="1"/>
  <c r="E491" i="14"/>
  <c r="E488" i="14"/>
  <c r="E485" i="14"/>
  <c r="E482" i="14"/>
  <c r="E481" i="14"/>
  <c r="E478" i="14"/>
  <c r="E476" i="14"/>
  <c r="E470" i="14"/>
  <c r="E467" i="14"/>
  <c r="E462" i="14"/>
  <c r="E459" i="14"/>
  <c r="E456" i="14"/>
  <c r="E453" i="14"/>
  <c r="E450" i="14"/>
  <c r="E448" i="14"/>
  <c r="E444" i="14"/>
  <c r="E441" i="14"/>
  <c r="E438" i="14"/>
  <c r="E433" i="14"/>
  <c r="E430" i="14"/>
  <c r="E428" i="14"/>
  <c r="E426" i="14"/>
  <c r="E423" i="14"/>
  <c r="E418" i="14"/>
  <c r="E411" i="14"/>
  <c r="E410" i="14" s="1"/>
  <c r="E408" i="14"/>
  <c r="E405" i="14"/>
  <c r="E393" i="14"/>
  <c r="E392" i="14" s="1"/>
  <c r="E389" i="14"/>
  <c r="E387" i="14"/>
  <c r="E380" i="14"/>
  <c r="E377" i="14"/>
  <c r="E372" i="14"/>
  <c r="E366" i="14"/>
  <c r="E347" i="14"/>
  <c r="E343" i="14"/>
  <c r="E341" i="14"/>
  <c r="E333" i="14"/>
  <c r="E331" i="14"/>
  <c r="E328" i="14"/>
  <c r="E326" i="14"/>
  <c r="E319" i="14"/>
  <c r="E316" i="14"/>
  <c r="E300" i="14"/>
  <c r="E283" i="14"/>
  <c r="E272" i="14"/>
  <c r="E270" i="14"/>
  <c r="E268" i="14"/>
  <c r="E257" i="14"/>
  <c r="E256" i="14" s="1"/>
  <c r="E242" i="14"/>
  <c r="E236" i="14"/>
  <c r="E10" i="14" s="1"/>
  <c r="E231" i="14"/>
  <c r="E226" i="14"/>
  <c r="E225" i="14" s="1"/>
  <c r="E223" i="14"/>
  <c r="E222" i="14" s="1"/>
  <c r="E215" i="14"/>
  <c r="E214" i="14" s="1"/>
  <c r="E213" i="14" s="1"/>
  <c r="E210" i="14"/>
  <c r="E208" i="14"/>
  <c r="E203" i="14"/>
  <c r="E201" i="14"/>
  <c r="E193" i="14"/>
  <c r="E188" i="14"/>
  <c r="E178" i="14"/>
  <c r="E175" i="14"/>
  <c r="E160" i="14"/>
  <c r="E156" i="14"/>
  <c r="E143" i="14"/>
  <c r="E141" i="14"/>
  <c r="E122" i="14"/>
  <c r="E118" i="14"/>
  <c r="E98" i="14"/>
  <c r="E93" i="14"/>
  <c r="E90" i="14"/>
  <c r="E87" i="14"/>
  <c r="E83" i="14"/>
  <c r="E75" i="14"/>
  <c r="E65" i="14"/>
  <c r="E60" i="14"/>
  <c r="E55" i="14"/>
  <c r="E52" i="14"/>
  <c r="E46" i="14"/>
  <c r="E40" i="14"/>
  <c r="E33" i="14"/>
  <c r="E25" i="14"/>
  <c r="E24" i="14" s="1"/>
  <c r="E20" i="14"/>
  <c r="E19" i="14" s="1"/>
  <c r="L369" i="10"/>
  <c r="J53" i="16"/>
  <c r="F484" i="14" l="1"/>
  <c r="F340" i="14"/>
  <c r="F339" i="14" s="1"/>
  <c r="F221" i="14"/>
  <c r="E230" i="14"/>
  <c r="E229" i="14"/>
  <c r="D56" i="13"/>
  <c r="E529" i="14"/>
  <c r="E565" i="14"/>
  <c r="E564" i="14" s="1"/>
  <c r="E15" i="14" s="1"/>
  <c r="E221" i="14"/>
  <c r="E177" i="14"/>
  <c r="E346" i="14"/>
  <c r="E522" i="14"/>
  <c r="E514" i="14" s="1"/>
  <c r="F422" i="14"/>
  <c r="D78" i="13"/>
  <c r="D10" i="13" s="1"/>
  <c r="D69" i="13"/>
  <c r="D17" i="13"/>
  <c r="D16" i="13" s="1"/>
  <c r="D7" i="13" s="1"/>
  <c r="D45" i="13"/>
  <c r="E56" i="13"/>
  <c r="D8" i="13"/>
  <c r="D5" i="13" s="1"/>
  <c r="D93" i="13"/>
  <c r="E45" i="13"/>
  <c r="E78" i="13"/>
  <c r="E10" i="13" s="1"/>
  <c r="E17" i="13"/>
  <c r="E94" i="13"/>
  <c r="E8" i="13" s="1"/>
  <c r="E5" i="13" s="1"/>
  <c r="D115" i="13"/>
  <c r="D9" i="13" s="1"/>
  <c r="D6" i="13" s="1"/>
  <c r="E115" i="13"/>
  <c r="E9" i="13" s="1"/>
  <c r="E6" i="13" s="1"/>
  <c r="F452" i="14"/>
  <c r="F537" i="14"/>
  <c r="E422" i="14"/>
  <c r="F177" i="14"/>
  <c r="E340" i="14"/>
  <c r="E339" i="14" s="1"/>
  <c r="E432" i="14"/>
  <c r="E452" i="14"/>
  <c r="F346" i="14"/>
  <c r="F345" i="14" s="1"/>
  <c r="F338" i="14" s="1"/>
  <c r="F13" i="14" s="1"/>
  <c r="E404" i="14"/>
  <c r="F267" i="14"/>
  <c r="F266" i="14" s="1"/>
  <c r="E528" i="14"/>
  <c r="F544" i="14"/>
  <c r="E267" i="14"/>
  <c r="E266" i="14" s="1"/>
  <c r="E484" i="14"/>
  <c r="E45" i="14"/>
  <c r="E544" i="14"/>
  <c r="F45" i="14"/>
  <c r="F522" i="14"/>
  <c r="F514" i="14" s="1"/>
  <c r="F241" i="14"/>
  <c r="F432" i="14"/>
  <c r="E32" i="14"/>
  <c r="E18" i="14" s="1"/>
  <c r="E92" i="14"/>
  <c r="F92" i="14"/>
  <c r="F565" i="14"/>
  <c r="F564" i="14" s="1"/>
  <c r="F15" i="14" s="1"/>
  <c r="D48" i="16" s="1"/>
  <c r="I48" i="16" s="1"/>
  <c r="E64" i="14"/>
  <c r="E371" i="14"/>
  <c r="F64" i="14"/>
  <c r="F403" i="14"/>
  <c r="E89" i="13"/>
  <c r="F18" i="14"/>
  <c r="E241" i="14"/>
  <c r="E403" i="14"/>
  <c r="D14" i="24"/>
  <c r="D13" i="24" s="1"/>
  <c r="E14" i="24"/>
  <c r="E13" i="24" s="1"/>
  <c r="F14" i="24"/>
  <c r="F13" i="24" s="1"/>
  <c r="G14" i="24"/>
  <c r="G13" i="24" s="1"/>
  <c r="C14" i="24"/>
  <c r="C13" i="24" s="1"/>
  <c r="G21" i="24"/>
  <c r="F21" i="24"/>
  <c r="E21" i="24"/>
  <c r="D21" i="24"/>
  <c r="C21" i="24"/>
  <c r="F19" i="24"/>
  <c r="E19" i="24"/>
  <c r="D19" i="24"/>
  <c r="C19" i="24"/>
  <c r="H18" i="24"/>
  <c r="D17" i="24"/>
  <c r="C17" i="24"/>
  <c r="F17" i="24"/>
  <c r="E17" i="24"/>
  <c r="G15" i="24"/>
  <c r="F15" i="24"/>
  <c r="E15" i="24"/>
  <c r="D15" i="24"/>
  <c r="C15" i="24"/>
  <c r="I12" i="24"/>
  <c r="D11" i="24"/>
  <c r="C11" i="24"/>
  <c r="F11" i="24"/>
  <c r="E11" i="24"/>
  <c r="G13" i="22"/>
  <c r="H13" i="22"/>
  <c r="I13" i="22"/>
  <c r="J13" i="22"/>
  <c r="F13" i="22"/>
  <c r="F528" i="14" l="1"/>
  <c r="F513" i="14" s="1"/>
  <c r="F44" i="14"/>
  <c r="J15" i="14"/>
  <c r="C48" i="16"/>
  <c r="H48" i="16" s="1"/>
  <c r="E421" i="14"/>
  <c r="E402" i="14" s="1"/>
  <c r="E345" i="14"/>
  <c r="E338" i="14" s="1"/>
  <c r="E13" i="14" s="1"/>
  <c r="E44" i="14"/>
  <c r="E17" i="14" s="1"/>
  <c r="E9" i="14" s="1"/>
  <c r="E513" i="14"/>
  <c r="F421" i="14"/>
  <c r="F402" i="14" s="1"/>
  <c r="F11" i="14" s="1"/>
  <c r="F6" i="14" s="1"/>
  <c r="E93" i="13"/>
  <c r="E16" i="13"/>
  <c r="E7" i="13" s="1"/>
  <c r="E4" i="13" s="1"/>
  <c r="E3" i="13" s="1"/>
  <c r="D4" i="13"/>
  <c r="D3" i="13" s="1"/>
  <c r="C32" i="16"/>
  <c r="F17" i="14"/>
  <c r="F9" i="14" s="1"/>
  <c r="G17" i="24"/>
  <c r="I18" i="24"/>
  <c r="D10" i="24"/>
  <c r="G19" i="24"/>
  <c r="H19" i="24" s="1"/>
  <c r="C10" i="24"/>
  <c r="H12" i="24"/>
  <c r="H15" i="24"/>
  <c r="I15" i="24"/>
  <c r="E10" i="24"/>
  <c r="F10" i="24"/>
  <c r="H21" i="24"/>
  <c r="I21" i="24"/>
  <c r="H13" i="24"/>
  <c r="H22" i="24"/>
  <c r="I22" i="24"/>
  <c r="I13" i="24"/>
  <c r="I16" i="24"/>
  <c r="H14" i="24"/>
  <c r="H17" i="24"/>
  <c r="H20" i="24"/>
  <c r="I20" i="24"/>
  <c r="H16" i="24"/>
  <c r="G11" i="24"/>
  <c r="I14" i="24"/>
  <c r="G12" i="22"/>
  <c r="G11" i="22" s="1"/>
  <c r="G10" i="22" s="1"/>
  <c r="H12" i="22"/>
  <c r="H11" i="22" s="1"/>
  <c r="H10" i="22" s="1"/>
  <c r="I12" i="22"/>
  <c r="I11" i="22" s="1"/>
  <c r="I10" i="22" s="1"/>
  <c r="J12" i="22"/>
  <c r="J11" i="22" s="1"/>
  <c r="J10" i="22" s="1"/>
  <c r="F12" i="22"/>
  <c r="F11" i="22" s="1"/>
  <c r="F10" i="22" s="1"/>
  <c r="D38" i="18"/>
  <c r="D37" i="18" s="1"/>
  <c r="E38" i="18"/>
  <c r="E37" i="18" s="1"/>
  <c r="F38" i="18"/>
  <c r="F37" i="18" s="1"/>
  <c r="G38" i="18"/>
  <c r="D36" i="18"/>
  <c r="D35" i="18" s="1"/>
  <c r="E36" i="18"/>
  <c r="E35" i="18" s="1"/>
  <c r="F36" i="18"/>
  <c r="F35" i="18" s="1"/>
  <c r="G36" i="18"/>
  <c r="F512" i="14" l="1"/>
  <c r="F12" i="14"/>
  <c r="F7" i="14" s="1"/>
  <c r="G37" i="18"/>
  <c r="J37" i="18" s="1"/>
  <c r="J38" i="18"/>
  <c r="G35" i="18"/>
  <c r="J35" i="18" s="1"/>
  <c r="J36" i="18"/>
  <c r="E512" i="14"/>
  <c r="E12" i="14"/>
  <c r="E7" i="14" s="1"/>
  <c r="E5" i="14"/>
  <c r="E8" i="14"/>
  <c r="F401" i="14"/>
  <c r="F5" i="14"/>
  <c r="F8" i="14"/>
  <c r="E401" i="14"/>
  <c r="E11" i="14"/>
  <c r="E6" i="14" s="1"/>
  <c r="I17" i="24"/>
  <c r="I19" i="24"/>
  <c r="I11" i="24"/>
  <c r="G10" i="24"/>
  <c r="H11" i="24"/>
  <c r="I35" i="18"/>
  <c r="K13" i="22"/>
  <c r="M12" i="22"/>
  <c r="L13" i="22"/>
  <c r="K11" i="22"/>
  <c r="M11" i="22"/>
  <c r="L11" i="22"/>
  <c r="I38" i="18"/>
  <c r="I36" i="18"/>
  <c r="F4" i="14" l="1"/>
  <c r="I37" i="18"/>
  <c r="E4" i="14"/>
  <c r="I10" i="24"/>
  <c r="H10" i="24"/>
  <c r="K12" i="22"/>
  <c r="L12" i="22"/>
  <c r="K10" i="22"/>
  <c r="M10" i="22"/>
  <c r="L10" i="22"/>
  <c r="H15" i="9" l="1"/>
  <c r="C28" i="18"/>
  <c r="C27" i="18" s="1"/>
  <c r="C38" i="18"/>
  <c r="C36" i="18"/>
  <c r="G34" i="18"/>
  <c r="J34" i="18" s="1"/>
  <c r="F34" i="18"/>
  <c r="F33" i="18" s="1"/>
  <c r="E34" i="18"/>
  <c r="E33" i="18" s="1"/>
  <c r="D34" i="18"/>
  <c r="D33" i="18" s="1"/>
  <c r="C34" i="18"/>
  <c r="C33" i="18" s="1"/>
  <c r="G32" i="18"/>
  <c r="J32" i="18" s="1"/>
  <c r="F32" i="18"/>
  <c r="F31" i="18" s="1"/>
  <c r="E32" i="18"/>
  <c r="E31" i="18" s="1"/>
  <c r="D32" i="18"/>
  <c r="D31" i="18" s="1"/>
  <c r="C32" i="18"/>
  <c r="C31" i="18" s="1"/>
  <c r="G30" i="18"/>
  <c r="J30" i="18" s="1"/>
  <c r="F30" i="18"/>
  <c r="F29" i="18" s="1"/>
  <c r="E30" i="18"/>
  <c r="E29" i="18" s="1"/>
  <c r="D30" i="18"/>
  <c r="D29" i="18" s="1"/>
  <c r="C30" i="18"/>
  <c r="C29" i="18" s="1"/>
  <c r="D28" i="18"/>
  <c r="D27" i="18" s="1"/>
  <c r="C12" i="18"/>
  <c r="C11" i="18" s="1"/>
  <c r="D12" i="18"/>
  <c r="D11" i="18" s="1"/>
  <c r="C14" i="18"/>
  <c r="C13" i="18" s="1"/>
  <c r="D14" i="18"/>
  <c r="D13" i="18" s="1"/>
  <c r="C16" i="18"/>
  <c r="C15" i="18" s="1"/>
  <c r="D16" i="18"/>
  <c r="D15" i="18" s="1"/>
  <c r="C18" i="18"/>
  <c r="C17" i="18" s="1"/>
  <c r="D18" i="18"/>
  <c r="D17" i="18" s="1"/>
  <c r="C20" i="18"/>
  <c r="C19" i="18" s="1"/>
  <c r="D20" i="18"/>
  <c r="D19" i="18" s="1"/>
  <c r="E20" i="18"/>
  <c r="E19" i="18" s="1"/>
  <c r="F20" i="18"/>
  <c r="G20" i="18"/>
  <c r="C22" i="18"/>
  <c r="C21" i="18" s="1"/>
  <c r="D22" i="18"/>
  <c r="D21" i="18" s="1"/>
  <c r="H125" i="9"/>
  <c r="G159" i="9"/>
  <c r="G158" i="9" s="1"/>
  <c r="G157" i="9" s="1"/>
  <c r="F159" i="9"/>
  <c r="F158" i="9" s="1"/>
  <c r="G156" i="9"/>
  <c r="G155" i="9" s="1"/>
  <c r="H156" i="9"/>
  <c r="H155" i="9" s="1"/>
  <c r="I156" i="9"/>
  <c r="I155" i="9" s="1"/>
  <c r="J156" i="9"/>
  <c r="J155" i="9" s="1"/>
  <c r="F156" i="9"/>
  <c r="F155" i="9" s="1"/>
  <c r="G151" i="9"/>
  <c r="G152" i="9"/>
  <c r="G153" i="9"/>
  <c r="H153" i="9"/>
  <c r="I153" i="9"/>
  <c r="J153" i="9"/>
  <c r="G154" i="9"/>
  <c r="H154" i="9"/>
  <c r="I154" i="9"/>
  <c r="J154" i="9"/>
  <c r="F154" i="9"/>
  <c r="F153" i="9"/>
  <c r="F152" i="9"/>
  <c r="F151" i="9"/>
  <c r="G148" i="9"/>
  <c r="G149" i="9"/>
  <c r="F149" i="9"/>
  <c r="F148" i="9"/>
  <c r="G147" i="9"/>
  <c r="F147" i="9"/>
  <c r="G144" i="9"/>
  <c r="G143" i="9" s="1"/>
  <c r="F144" i="9"/>
  <c r="F143" i="9" s="1"/>
  <c r="G142" i="9"/>
  <c r="G141" i="9" s="1"/>
  <c r="F142" i="9"/>
  <c r="F141" i="9" s="1"/>
  <c r="G136" i="9"/>
  <c r="H136" i="9"/>
  <c r="I136" i="9"/>
  <c r="J136" i="9"/>
  <c r="G137" i="9"/>
  <c r="H137" i="9"/>
  <c r="I137" i="9"/>
  <c r="J137" i="9"/>
  <c r="F136" i="9"/>
  <c r="F137" i="9"/>
  <c r="G134" i="9"/>
  <c r="G133" i="9" s="1"/>
  <c r="F134" i="9"/>
  <c r="F133" i="9" s="1"/>
  <c r="G132" i="9"/>
  <c r="G131" i="9" s="1"/>
  <c r="F132" i="9"/>
  <c r="F131" i="9" s="1"/>
  <c r="G128" i="9"/>
  <c r="G129" i="9"/>
  <c r="F129" i="9"/>
  <c r="F128" i="9"/>
  <c r="F19" i="18" l="1"/>
  <c r="J20" i="18"/>
  <c r="G140" i="9"/>
  <c r="F140" i="9"/>
  <c r="L153" i="9"/>
  <c r="H20" i="18"/>
  <c r="D26" i="18"/>
  <c r="G33" i="18"/>
  <c r="J33" i="18" s="1"/>
  <c r="H34" i="18"/>
  <c r="I34" i="18"/>
  <c r="G31" i="18"/>
  <c r="J31" i="18" s="1"/>
  <c r="H32" i="18"/>
  <c r="I32" i="18"/>
  <c r="C35" i="18"/>
  <c r="H35" i="18" s="1"/>
  <c r="H36" i="18"/>
  <c r="G29" i="18"/>
  <c r="J29" i="18" s="1"/>
  <c r="H30" i="18"/>
  <c r="I30" i="18"/>
  <c r="C37" i="18"/>
  <c r="H37" i="18" s="1"/>
  <c r="H38" i="18"/>
  <c r="D10" i="18"/>
  <c r="C10" i="18"/>
  <c r="I20" i="18"/>
  <c r="G19" i="18"/>
  <c r="F157" i="9"/>
  <c r="K153" i="9"/>
  <c r="L137" i="9"/>
  <c r="K155" i="9"/>
  <c r="K154" i="9"/>
  <c r="K156" i="9"/>
  <c r="G150" i="9"/>
  <c r="K137" i="9"/>
  <c r="K136" i="9"/>
  <c r="L156" i="9"/>
  <c r="L154" i="9"/>
  <c r="L155" i="9"/>
  <c r="L136" i="9"/>
  <c r="F150" i="9"/>
  <c r="G146" i="9"/>
  <c r="F146" i="9"/>
  <c r="I135" i="9"/>
  <c r="H135" i="9"/>
  <c r="J135" i="9"/>
  <c r="F135" i="9"/>
  <c r="F130" i="9" s="1"/>
  <c r="G135" i="9"/>
  <c r="G130" i="9" s="1"/>
  <c r="F127" i="9"/>
  <c r="F126" i="9" s="1"/>
  <c r="G127" i="9"/>
  <c r="G126" i="9" s="1"/>
  <c r="G125" i="9"/>
  <c r="G124" i="9" s="1"/>
  <c r="H124" i="9"/>
  <c r="I125" i="9"/>
  <c r="I124" i="9" s="1"/>
  <c r="J125" i="9"/>
  <c r="F125" i="9"/>
  <c r="F124" i="9" s="1"/>
  <c r="G122" i="9"/>
  <c r="H122" i="9"/>
  <c r="I122" i="9"/>
  <c r="J122" i="9"/>
  <c r="M122" i="9" s="1"/>
  <c r="G123" i="9"/>
  <c r="H123" i="9"/>
  <c r="I123" i="9"/>
  <c r="J123" i="9"/>
  <c r="M123" i="9" s="1"/>
  <c r="F123" i="9"/>
  <c r="F122" i="9"/>
  <c r="G114" i="9"/>
  <c r="H114" i="9"/>
  <c r="I114" i="9"/>
  <c r="J114" i="9"/>
  <c r="G115" i="9"/>
  <c r="H115" i="9"/>
  <c r="I115" i="9"/>
  <c r="J115" i="9"/>
  <c r="G116" i="9"/>
  <c r="H116" i="9"/>
  <c r="I116" i="9"/>
  <c r="J116" i="9"/>
  <c r="F116" i="9"/>
  <c r="F115" i="9"/>
  <c r="F114" i="9"/>
  <c r="G68" i="9"/>
  <c r="G67" i="9" s="1"/>
  <c r="H68" i="9"/>
  <c r="H67" i="9" s="1"/>
  <c r="I68" i="9"/>
  <c r="I67" i="9" s="1"/>
  <c r="J68" i="9"/>
  <c r="F68" i="9"/>
  <c r="F67" i="9" s="1"/>
  <c r="G65" i="9"/>
  <c r="G64" i="9" s="1"/>
  <c r="H65" i="9"/>
  <c r="H64" i="9" s="1"/>
  <c r="I65" i="9"/>
  <c r="I64" i="9" s="1"/>
  <c r="J65" i="9"/>
  <c r="F65" i="9"/>
  <c r="F64" i="9" s="1"/>
  <c r="J30" i="9"/>
  <c r="M30" i="9" s="1"/>
  <c r="G60" i="9"/>
  <c r="G59" i="9" s="1"/>
  <c r="G58" i="9" s="1"/>
  <c r="H60" i="9"/>
  <c r="H59" i="9" s="1"/>
  <c r="H58" i="9" s="1"/>
  <c r="I60" i="9"/>
  <c r="I59" i="9" s="1"/>
  <c r="I58" i="9" s="1"/>
  <c r="F60" i="9"/>
  <c r="F59" i="9" s="1"/>
  <c r="F58" i="9" s="1"/>
  <c r="G57" i="9"/>
  <c r="G56" i="9" s="1"/>
  <c r="H57" i="9"/>
  <c r="H56" i="9" s="1"/>
  <c r="I57" i="9"/>
  <c r="I56" i="9" s="1"/>
  <c r="F57" i="9"/>
  <c r="F56" i="9" s="1"/>
  <c r="G54" i="9"/>
  <c r="H54" i="9"/>
  <c r="I54" i="9"/>
  <c r="G55" i="9"/>
  <c r="H55" i="9"/>
  <c r="I55" i="9"/>
  <c r="F55" i="9"/>
  <c r="F54" i="9"/>
  <c r="G51" i="9"/>
  <c r="H51" i="9"/>
  <c r="I51" i="9"/>
  <c r="F51" i="9"/>
  <c r="G50" i="9"/>
  <c r="H50" i="9"/>
  <c r="I50" i="9"/>
  <c r="F50" i="9"/>
  <c r="G47" i="9"/>
  <c r="H47" i="9"/>
  <c r="I47" i="9"/>
  <c r="G48" i="9"/>
  <c r="H48" i="9"/>
  <c r="I48" i="9"/>
  <c r="F48" i="9"/>
  <c r="F47" i="9"/>
  <c r="G44" i="9"/>
  <c r="H44" i="9"/>
  <c r="I44" i="9"/>
  <c r="G45" i="9"/>
  <c r="H45" i="9"/>
  <c r="I45" i="9"/>
  <c r="F45" i="9"/>
  <c r="F44" i="9"/>
  <c r="G37" i="9"/>
  <c r="H37" i="9"/>
  <c r="I37" i="9"/>
  <c r="G38" i="9"/>
  <c r="H38" i="9"/>
  <c r="I38" i="9"/>
  <c r="G39" i="9"/>
  <c r="H39" i="9"/>
  <c r="I39" i="9"/>
  <c r="F41" i="9"/>
  <c r="F40" i="9" s="1"/>
  <c r="F39" i="9"/>
  <c r="F38" i="9"/>
  <c r="F37" i="9"/>
  <c r="G41" i="9"/>
  <c r="G40" i="9" s="1"/>
  <c r="H41" i="9"/>
  <c r="H40" i="9" s="1"/>
  <c r="I41" i="9"/>
  <c r="I40" i="9" s="1"/>
  <c r="G35" i="9"/>
  <c r="G34" i="9" s="1"/>
  <c r="H35" i="9"/>
  <c r="H34" i="9" s="1"/>
  <c r="I35" i="9"/>
  <c r="F35" i="9"/>
  <c r="F34" i="9" s="1"/>
  <c r="G29" i="9"/>
  <c r="H29" i="9"/>
  <c r="I29" i="9"/>
  <c r="M29" i="9" s="1"/>
  <c r="F29" i="9"/>
  <c r="G25" i="9"/>
  <c r="H25" i="9"/>
  <c r="H24" i="9" s="1"/>
  <c r="I25" i="9"/>
  <c r="J25" i="9"/>
  <c r="J24" i="9" s="1"/>
  <c r="F25" i="9"/>
  <c r="F24" i="9" s="1"/>
  <c r="G22" i="9"/>
  <c r="H22" i="9"/>
  <c r="I22" i="9"/>
  <c r="J22" i="9"/>
  <c r="G23" i="9"/>
  <c r="H23" i="9"/>
  <c r="I23" i="9"/>
  <c r="J23" i="9"/>
  <c r="M23" i="9" s="1"/>
  <c r="F23" i="9"/>
  <c r="F22" i="9"/>
  <c r="G20" i="9"/>
  <c r="G19" i="9" s="1"/>
  <c r="H20" i="9"/>
  <c r="H19" i="9" s="1"/>
  <c r="I20" i="9"/>
  <c r="I19" i="9" s="1"/>
  <c r="J20" i="9"/>
  <c r="F20" i="9"/>
  <c r="F19" i="9" s="1"/>
  <c r="G14" i="9"/>
  <c r="H14" i="9"/>
  <c r="I14" i="9"/>
  <c r="J14" i="9"/>
  <c r="G15" i="9"/>
  <c r="I15" i="9"/>
  <c r="J15" i="9"/>
  <c r="G16" i="9"/>
  <c r="H16" i="9"/>
  <c r="I16" i="9"/>
  <c r="J16" i="9"/>
  <c r="G17" i="9"/>
  <c r="H17" i="9"/>
  <c r="I17" i="9"/>
  <c r="J17" i="9"/>
  <c r="G18" i="9"/>
  <c r="H18" i="9"/>
  <c r="I18" i="9"/>
  <c r="J18" i="9"/>
  <c r="F18" i="9"/>
  <c r="F17" i="9"/>
  <c r="F16" i="9"/>
  <c r="F15" i="9"/>
  <c r="F14" i="9"/>
  <c r="I53" i="16"/>
  <c r="I38" i="16"/>
  <c r="D56" i="16"/>
  <c r="D57" i="16"/>
  <c r="D58" i="16"/>
  <c r="D52" i="16"/>
  <c r="D54" i="16" s="1"/>
  <c r="D37" i="16"/>
  <c r="D36" i="16" s="1"/>
  <c r="D35" i="16"/>
  <c r="D34" i="16" s="1"/>
  <c r="C37" i="16"/>
  <c r="C36" i="16" s="1"/>
  <c r="D32" i="16"/>
  <c r="D33" i="16"/>
  <c r="M16" i="9" l="1"/>
  <c r="M22" i="9"/>
  <c r="I34" i="9"/>
  <c r="M34" i="9" s="1"/>
  <c r="M35" i="9"/>
  <c r="J19" i="18"/>
  <c r="I24" i="9"/>
  <c r="M24" i="9" s="1"/>
  <c r="M25" i="9"/>
  <c r="J19" i="9"/>
  <c r="M19" i="9" s="1"/>
  <c r="M20" i="9"/>
  <c r="M18" i="9"/>
  <c r="M15" i="9"/>
  <c r="M14" i="9"/>
  <c r="M17" i="9"/>
  <c r="G145" i="9"/>
  <c r="G139" i="9" s="1"/>
  <c r="F145" i="9"/>
  <c r="F139" i="9" s="1"/>
  <c r="D31" i="16"/>
  <c r="I31" i="18"/>
  <c r="H31" i="18"/>
  <c r="C26" i="18"/>
  <c r="I29" i="18"/>
  <c r="H29" i="18"/>
  <c r="I33" i="18"/>
  <c r="H33" i="18"/>
  <c r="I19" i="18"/>
  <c r="H19" i="18"/>
  <c r="K115" i="9"/>
  <c r="L115" i="9"/>
  <c r="K135" i="9"/>
  <c r="L135" i="9"/>
  <c r="K116" i="9"/>
  <c r="L116" i="9"/>
  <c r="K122" i="9"/>
  <c r="L122" i="9"/>
  <c r="J124" i="9"/>
  <c r="K125" i="9"/>
  <c r="L125" i="9"/>
  <c r="K114" i="9"/>
  <c r="L114" i="9"/>
  <c r="K123" i="9"/>
  <c r="L123" i="9"/>
  <c r="I121" i="9"/>
  <c r="I120" i="9" s="1"/>
  <c r="F121" i="9"/>
  <c r="F120" i="9" s="1"/>
  <c r="J121" i="9"/>
  <c r="M121" i="9" s="1"/>
  <c r="G121" i="9"/>
  <c r="G120" i="9" s="1"/>
  <c r="H121" i="9"/>
  <c r="H120" i="9" s="1"/>
  <c r="G113" i="9"/>
  <c r="G112" i="9" s="1"/>
  <c r="F113" i="9"/>
  <c r="F112" i="9" s="1"/>
  <c r="I113" i="9"/>
  <c r="I112" i="9" s="1"/>
  <c r="J113" i="9"/>
  <c r="H113" i="9"/>
  <c r="H112" i="9" s="1"/>
  <c r="K65" i="9"/>
  <c r="K57" i="9"/>
  <c r="K68" i="9"/>
  <c r="J67" i="9"/>
  <c r="K67" i="9" s="1"/>
  <c r="L68" i="9"/>
  <c r="J64" i="9"/>
  <c r="L65" i="9"/>
  <c r="L59" i="9"/>
  <c r="L57" i="9"/>
  <c r="K60" i="9"/>
  <c r="K55" i="9"/>
  <c r="L54" i="9"/>
  <c r="L60" i="9"/>
  <c r="K54" i="9"/>
  <c r="L55" i="9"/>
  <c r="K59" i="9"/>
  <c r="K48" i="9"/>
  <c r="K45" i="9"/>
  <c r="K51" i="9"/>
  <c r="L44" i="9"/>
  <c r="L48" i="9"/>
  <c r="K50" i="9"/>
  <c r="G49" i="9"/>
  <c r="K44" i="9"/>
  <c r="F53" i="9"/>
  <c r="F52" i="9" s="1"/>
  <c r="L51" i="9"/>
  <c r="L47" i="9"/>
  <c r="L45" i="9"/>
  <c r="I46" i="9"/>
  <c r="K47" i="9"/>
  <c r="L50" i="9"/>
  <c r="F46" i="9"/>
  <c r="H49" i="9"/>
  <c r="I49" i="9"/>
  <c r="F49" i="9"/>
  <c r="H46" i="9"/>
  <c r="G46" i="9"/>
  <c r="K39" i="9"/>
  <c r="F43" i="9"/>
  <c r="G36" i="9"/>
  <c r="G33" i="9" s="1"/>
  <c r="K40" i="9"/>
  <c r="K38" i="9"/>
  <c r="L39" i="9"/>
  <c r="I36" i="9"/>
  <c r="I33" i="9" s="1"/>
  <c r="M33" i="9" s="1"/>
  <c r="H36" i="9"/>
  <c r="H33" i="9" s="1"/>
  <c r="L37" i="9"/>
  <c r="F21" i="9"/>
  <c r="G27" i="9"/>
  <c r="G26" i="9" s="1"/>
  <c r="K41" i="9"/>
  <c r="K37" i="9"/>
  <c r="J21" i="9"/>
  <c r="L40" i="9"/>
  <c r="L38" i="9"/>
  <c r="L41" i="9"/>
  <c r="F36" i="9"/>
  <c r="F33" i="9" s="1"/>
  <c r="K30" i="9"/>
  <c r="L35" i="9"/>
  <c r="K19" i="9"/>
  <c r="F27" i="9"/>
  <c r="F26" i="9" s="1"/>
  <c r="I27" i="9"/>
  <c r="I26" i="9" s="1"/>
  <c r="K31" i="9"/>
  <c r="K35" i="9"/>
  <c r="L31" i="9"/>
  <c r="K29" i="9"/>
  <c r="L29" i="9"/>
  <c r="J27" i="9"/>
  <c r="L30" i="9"/>
  <c r="L28" i="9"/>
  <c r="H21" i="9"/>
  <c r="K28" i="9"/>
  <c r="H27" i="9"/>
  <c r="H26" i="9" s="1"/>
  <c r="L25" i="9"/>
  <c r="L17" i="9"/>
  <c r="K14" i="9"/>
  <c r="G21" i="9"/>
  <c r="K17" i="9"/>
  <c r="I21" i="9"/>
  <c r="K18" i="9"/>
  <c r="L15" i="9"/>
  <c r="L19" i="9"/>
  <c r="K25" i="9"/>
  <c r="K16" i="9"/>
  <c r="K22" i="9"/>
  <c r="K24" i="9"/>
  <c r="G24" i="9"/>
  <c r="L24" i="9" s="1"/>
  <c r="K23" i="9"/>
  <c r="K15" i="9"/>
  <c r="L22" i="9"/>
  <c r="L20" i="9"/>
  <c r="L18" i="9"/>
  <c r="L16" i="9"/>
  <c r="L14" i="9"/>
  <c r="L23" i="9"/>
  <c r="K20" i="9"/>
  <c r="H13" i="9"/>
  <c r="F13" i="9"/>
  <c r="G13" i="9"/>
  <c r="J13" i="9"/>
  <c r="I13" i="9"/>
  <c r="M13" i="9" s="1"/>
  <c r="D55" i="16"/>
  <c r="D59" i="16" s="1"/>
  <c r="J38" i="16"/>
  <c r="C52" i="16"/>
  <c r="C54" i="16" s="1"/>
  <c r="J12" i="9" l="1"/>
  <c r="J26" i="9"/>
  <c r="M26" i="9" s="1"/>
  <c r="M27" i="9"/>
  <c r="M21" i="9"/>
  <c r="J120" i="9"/>
  <c r="M120" i="9" s="1"/>
  <c r="K121" i="9"/>
  <c r="L121" i="9"/>
  <c r="J112" i="9"/>
  <c r="K113" i="9"/>
  <c r="L113" i="9"/>
  <c r="K124" i="9"/>
  <c r="L124" i="9"/>
  <c r="L67" i="9"/>
  <c r="K58" i="9"/>
  <c r="L58" i="9"/>
  <c r="L56" i="9"/>
  <c r="K56" i="9"/>
  <c r="L46" i="9"/>
  <c r="K46" i="9"/>
  <c r="F42" i="9"/>
  <c r="K49" i="9"/>
  <c r="L49" i="9"/>
  <c r="F12" i="9"/>
  <c r="K21" i="9"/>
  <c r="H12" i="9"/>
  <c r="L21" i="9"/>
  <c r="G12" i="9"/>
  <c r="I12" i="9"/>
  <c r="M12" i="9" s="1"/>
  <c r="D30" i="16"/>
  <c r="K120" i="9" l="1"/>
  <c r="L120" i="9"/>
  <c r="K112" i="9"/>
  <c r="L112" i="9"/>
  <c r="F11" i="9"/>
  <c r="M75" i="10" l="1"/>
  <c r="M74" i="10" s="1"/>
  <c r="M73" i="10" s="1"/>
  <c r="N75" i="10"/>
  <c r="N74" i="10" s="1"/>
  <c r="N73" i="10" s="1"/>
  <c r="O75" i="10"/>
  <c r="O74" i="10" s="1"/>
  <c r="O73" i="10" s="1"/>
  <c r="P75" i="10"/>
  <c r="L75" i="10"/>
  <c r="L74" i="10" s="1"/>
  <c r="L73" i="10" s="1"/>
  <c r="L29" i="10"/>
  <c r="M29" i="10"/>
  <c r="N29" i="10"/>
  <c r="O29" i="10"/>
  <c r="P29" i="10"/>
  <c r="E58" i="16"/>
  <c r="F58" i="16"/>
  <c r="G58" i="16"/>
  <c r="C58" i="16"/>
  <c r="I558" i="14"/>
  <c r="I58" i="16" l="1"/>
  <c r="J58" i="16"/>
  <c r="R75" i="10"/>
  <c r="Q75" i="10"/>
  <c r="P74" i="10"/>
  <c r="P73" i="10" s="1"/>
  <c r="H58" i="16"/>
  <c r="Q74" i="10" l="1"/>
  <c r="R74" i="10"/>
  <c r="R73" i="10"/>
  <c r="Q73" i="10"/>
  <c r="M236" i="10"/>
  <c r="N236" i="10"/>
  <c r="O236" i="10"/>
  <c r="P236" i="10"/>
  <c r="L236" i="10"/>
  <c r="M317" i="10"/>
  <c r="N317" i="10"/>
  <c r="O317" i="10"/>
  <c r="P317" i="10"/>
  <c r="L317" i="10"/>
  <c r="M337" i="10"/>
  <c r="N337" i="10"/>
  <c r="O337" i="10"/>
  <c r="P337" i="10"/>
  <c r="L337" i="10"/>
  <c r="M234" i="10"/>
  <c r="N234" i="10"/>
  <c r="O234" i="10"/>
  <c r="P234" i="10"/>
  <c r="L234" i="10"/>
  <c r="M233" i="10"/>
  <c r="N233" i="10"/>
  <c r="O233" i="10"/>
  <c r="P233" i="10"/>
  <c r="L233" i="10"/>
  <c r="I243" i="14"/>
  <c r="J128" i="9" s="1"/>
  <c r="I52" i="14"/>
  <c r="J85" i="9" s="1"/>
  <c r="Q317" i="10" l="1"/>
  <c r="K128" i="9"/>
  <c r="L128" i="9"/>
  <c r="Q337" i="10"/>
  <c r="R317" i="10"/>
  <c r="R337" i="10"/>
  <c r="Q234" i="10"/>
  <c r="R234" i="10"/>
  <c r="R233" i="10"/>
  <c r="Q233" i="10"/>
  <c r="M399" i="10"/>
  <c r="N399" i="10"/>
  <c r="O399" i="10"/>
  <c r="P399" i="10"/>
  <c r="L399" i="10"/>
  <c r="M296" i="10"/>
  <c r="M295" i="10" s="1"/>
  <c r="M294" i="10" s="1"/>
  <c r="N296" i="10"/>
  <c r="N295" i="10" s="1"/>
  <c r="N294" i="10" s="1"/>
  <c r="O296" i="10"/>
  <c r="O295" i="10" s="1"/>
  <c r="O294" i="10" s="1"/>
  <c r="P296" i="10"/>
  <c r="L296" i="10"/>
  <c r="L295" i="10" s="1"/>
  <c r="L294" i="10" s="1"/>
  <c r="Q193" i="10"/>
  <c r="R193" i="10"/>
  <c r="Q197" i="10"/>
  <c r="R197" i="10"/>
  <c r="M196" i="10"/>
  <c r="M195" i="10" s="1"/>
  <c r="M194" i="10" s="1"/>
  <c r="N196" i="10"/>
  <c r="N195" i="10" s="1"/>
  <c r="N194" i="10" s="1"/>
  <c r="O196" i="10"/>
  <c r="O195" i="10" s="1"/>
  <c r="O194" i="10" s="1"/>
  <c r="P196" i="10"/>
  <c r="L196" i="10"/>
  <c r="L195" i="10" s="1"/>
  <c r="M52" i="10"/>
  <c r="N52" i="10"/>
  <c r="O52" i="10"/>
  <c r="P52" i="10"/>
  <c r="L52" i="10"/>
  <c r="M135" i="10"/>
  <c r="N135" i="10"/>
  <c r="O135" i="10"/>
  <c r="P135" i="10"/>
  <c r="L135" i="10"/>
  <c r="M266" i="10"/>
  <c r="N266" i="10"/>
  <c r="O266" i="10"/>
  <c r="P266" i="10"/>
  <c r="L266" i="10"/>
  <c r="M141" i="10"/>
  <c r="N141" i="10"/>
  <c r="O141" i="10"/>
  <c r="P141" i="10"/>
  <c r="L141" i="10"/>
  <c r="M81" i="10"/>
  <c r="N81" i="10"/>
  <c r="O81" i="10"/>
  <c r="P81" i="10"/>
  <c r="L81" i="10"/>
  <c r="M260" i="10"/>
  <c r="N260" i="10"/>
  <c r="O260" i="10"/>
  <c r="P260" i="10"/>
  <c r="L260" i="10"/>
  <c r="L290" i="10"/>
  <c r="L291" i="10"/>
  <c r="L292" i="10"/>
  <c r="L293" i="10"/>
  <c r="M290" i="10"/>
  <c r="N290" i="10"/>
  <c r="O290" i="10"/>
  <c r="P290" i="10"/>
  <c r="N16" i="10"/>
  <c r="P295" i="10" l="1"/>
  <c r="P294" i="10" s="1"/>
  <c r="R294" i="10" s="1"/>
  <c r="R296" i="10"/>
  <c r="Q296" i="10"/>
  <c r="Q196" i="10"/>
  <c r="P195" i="10"/>
  <c r="Q195" i="10" s="1"/>
  <c r="R196" i="10"/>
  <c r="L194" i="10"/>
  <c r="Q52" i="10"/>
  <c r="Q135" i="10"/>
  <c r="R52" i="10"/>
  <c r="R266" i="10"/>
  <c r="R135" i="10"/>
  <c r="Q290" i="10"/>
  <c r="Q141" i="10"/>
  <c r="Q266" i="10"/>
  <c r="R81" i="10"/>
  <c r="R141" i="10"/>
  <c r="R260" i="10"/>
  <c r="Q81" i="10"/>
  <c r="L289" i="10"/>
  <c r="L288" i="10" s="1"/>
  <c r="Q260" i="10"/>
  <c r="R290" i="10"/>
  <c r="J31" i="14"/>
  <c r="H545" i="14"/>
  <c r="I545" i="14"/>
  <c r="D545" i="14"/>
  <c r="G545" i="14"/>
  <c r="K238" i="14"/>
  <c r="P37" i="13"/>
  <c r="P38" i="13"/>
  <c r="P39" i="13"/>
  <c r="P41" i="13"/>
  <c r="P42" i="13"/>
  <c r="P43" i="13"/>
  <c r="P44" i="13"/>
  <c r="P47" i="13"/>
  <c r="P48" i="13"/>
  <c r="P50" i="13"/>
  <c r="P51" i="13"/>
  <c r="P52" i="13"/>
  <c r="R295" i="10" l="1"/>
  <c r="Q295" i="10"/>
  <c r="Q294" i="10"/>
  <c r="P194" i="10"/>
  <c r="R195" i="10"/>
  <c r="R194" i="10" l="1"/>
  <c r="Q194" i="10"/>
  <c r="F82" i="13" l="1"/>
  <c r="F91" i="9" l="1"/>
  <c r="J173" i="14"/>
  <c r="J154" i="14"/>
  <c r="J129" i="14"/>
  <c r="J128" i="14"/>
  <c r="J111" i="14"/>
  <c r="M371" i="10" l="1"/>
  <c r="N371" i="10"/>
  <c r="O371" i="10"/>
  <c r="P371" i="10"/>
  <c r="L371" i="10"/>
  <c r="M364" i="10"/>
  <c r="N364" i="10"/>
  <c r="O364" i="10"/>
  <c r="P364" i="10"/>
  <c r="L364" i="10"/>
  <c r="M104" i="10"/>
  <c r="N104" i="10"/>
  <c r="O104" i="10"/>
  <c r="P104" i="10"/>
  <c r="L104" i="10"/>
  <c r="Q371" i="10" l="1"/>
  <c r="Q104" i="10"/>
  <c r="R371" i="10"/>
  <c r="R104" i="10"/>
  <c r="M83" i="10"/>
  <c r="N83" i="10"/>
  <c r="O83" i="10"/>
  <c r="P83" i="10"/>
  <c r="L83" i="10"/>
  <c r="Q340" i="10"/>
  <c r="R340" i="10"/>
  <c r="M339" i="10"/>
  <c r="M338" i="10" s="1"/>
  <c r="N339" i="10"/>
  <c r="N338" i="10" s="1"/>
  <c r="O339" i="10"/>
  <c r="O338" i="10" s="1"/>
  <c r="P339" i="10"/>
  <c r="L339" i="10"/>
  <c r="L338" i="10" s="1"/>
  <c r="Q83" i="10" l="1"/>
  <c r="Q339" i="10"/>
  <c r="R83" i="10"/>
  <c r="R339" i="10"/>
  <c r="P338" i="10"/>
  <c r="Q338" i="10" l="1"/>
  <c r="R338" i="10"/>
  <c r="G130" i="13" l="1"/>
  <c r="G128" i="13"/>
  <c r="G126" i="13"/>
  <c r="G125" i="13" s="1"/>
  <c r="G123" i="13"/>
  <c r="G122" i="13" s="1"/>
  <c r="G120" i="13"/>
  <c r="G119" i="13" s="1"/>
  <c r="G117" i="13"/>
  <c r="G116" i="13" s="1"/>
  <c r="G107" i="13"/>
  <c r="G105" i="13"/>
  <c r="G104" i="13" s="1"/>
  <c r="G102" i="13"/>
  <c r="G101" i="13" s="1"/>
  <c r="G99" i="13"/>
  <c r="G98" i="13" s="1"/>
  <c r="G96" i="13"/>
  <c r="G95" i="13" s="1"/>
  <c r="G87" i="13"/>
  <c r="G85" i="13"/>
  <c r="G84" i="13" s="1"/>
  <c r="G11" i="13" s="1"/>
  <c r="F52" i="16" s="1"/>
  <c r="F54" i="16" s="1"/>
  <c r="G82" i="13"/>
  <c r="G81" i="13" s="1"/>
  <c r="G79" i="13"/>
  <c r="G76" i="13"/>
  <c r="G75" i="13" s="1"/>
  <c r="G73" i="13"/>
  <c r="G70" i="13"/>
  <c r="G65" i="13"/>
  <c r="G60" i="13"/>
  <c r="G57" i="13"/>
  <c r="G49" i="13"/>
  <c r="G46" i="13"/>
  <c r="G40" i="13"/>
  <c r="G35" i="13"/>
  <c r="G32" i="13"/>
  <c r="G29" i="13"/>
  <c r="G26" i="13"/>
  <c r="G18" i="13"/>
  <c r="G13" i="13"/>
  <c r="F57" i="16" s="1"/>
  <c r="G12" i="13"/>
  <c r="F56" i="16" s="1"/>
  <c r="F16" i="18" l="1"/>
  <c r="F55" i="16"/>
  <c r="F59" i="16" s="1"/>
  <c r="G45" i="13"/>
  <c r="F14" i="18"/>
  <c r="F12" i="18"/>
  <c r="G69" i="13"/>
  <c r="G34" i="13"/>
  <c r="F18" i="18" s="1"/>
  <c r="G78" i="13"/>
  <c r="G17" i="13"/>
  <c r="G94" i="13"/>
  <c r="G93" i="13" s="1"/>
  <c r="G56" i="13"/>
  <c r="G115" i="13"/>
  <c r="G9" i="13" s="1"/>
  <c r="I236" i="14"/>
  <c r="I10" i="14" s="1"/>
  <c r="F17" i="18" l="1"/>
  <c r="F11" i="18"/>
  <c r="F13" i="18"/>
  <c r="F15" i="18"/>
  <c r="G10" i="13"/>
  <c r="F33" i="16" s="1"/>
  <c r="F22" i="18"/>
  <c r="G89" i="13"/>
  <c r="G16" i="13"/>
  <c r="G7" i="13" s="1"/>
  <c r="G8" i="13"/>
  <c r="G6" i="13"/>
  <c r="F37" i="16"/>
  <c r="F36" i="16" s="1"/>
  <c r="H568" i="14"/>
  <c r="H566" i="14"/>
  <c r="H562" i="14"/>
  <c r="H561" i="14" s="1"/>
  <c r="H560" i="14" s="1"/>
  <c r="H558" i="14"/>
  <c r="H556" i="14"/>
  <c r="H554" i="14"/>
  <c r="H551" i="14"/>
  <c r="H548" i="14"/>
  <c r="H542" i="14"/>
  <c r="H538" i="14"/>
  <c r="H535" i="14"/>
  <c r="H533" i="14"/>
  <c r="H530" i="14"/>
  <c r="H526" i="14"/>
  <c r="H523" i="14"/>
  <c r="H519" i="14"/>
  <c r="H518" i="14" s="1"/>
  <c r="H516" i="14"/>
  <c r="H515" i="14" s="1"/>
  <c r="H503" i="14"/>
  <c r="H502" i="14" s="1"/>
  <c r="H14" i="14" s="1"/>
  <c r="F45" i="16" s="1"/>
  <c r="H500" i="14"/>
  <c r="H499" i="14" s="1"/>
  <c r="H496" i="14"/>
  <c r="H495" i="14" s="1"/>
  <c r="H494" i="14" s="1"/>
  <c r="H491" i="14"/>
  <c r="H488" i="14"/>
  <c r="H485" i="14"/>
  <c r="H482" i="14"/>
  <c r="H481" i="14" s="1"/>
  <c r="H478" i="14"/>
  <c r="H476" i="14"/>
  <c r="H470" i="14"/>
  <c r="H467" i="14"/>
  <c r="H462" i="14"/>
  <c r="H459" i="14"/>
  <c r="H456" i="14"/>
  <c r="H453" i="14"/>
  <c r="H450" i="14"/>
  <c r="H448" i="14"/>
  <c r="H444" i="14"/>
  <c r="H441" i="14"/>
  <c r="H438" i="14"/>
  <c r="H433" i="14"/>
  <c r="H430" i="14"/>
  <c r="H428" i="14"/>
  <c r="H426" i="14"/>
  <c r="H423" i="14"/>
  <c r="H418" i="14"/>
  <c r="H411" i="14"/>
  <c r="H410" i="14" s="1"/>
  <c r="H408" i="14"/>
  <c r="H405" i="14"/>
  <c r="H393" i="14"/>
  <c r="H389" i="14"/>
  <c r="H387" i="14"/>
  <c r="H380" i="14"/>
  <c r="H377" i="14"/>
  <c r="I152" i="9" s="1"/>
  <c r="H372" i="14"/>
  <c r="I151" i="9" s="1"/>
  <c r="I150" i="9" s="1"/>
  <c r="H366" i="14"/>
  <c r="I149" i="9" s="1"/>
  <c r="H362" i="14"/>
  <c r="I148" i="9" s="1"/>
  <c r="H347" i="14"/>
  <c r="I147" i="9" s="1"/>
  <c r="H343" i="14"/>
  <c r="I144" i="9" s="1"/>
  <c r="I143" i="9" s="1"/>
  <c r="H341" i="14"/>
  <c r="I142" i="9" s="1"/>
  <c r="I141" i="9" s="1"/>
  <c r="I140" i="9" s="1"/>
  <c r="H333" i="14"/>
  <c r="H331" i="14"/>
  <c r="I134" i="9" s="1"/>
  <c r="I133" i="9" s="1"/>
  <c r="H328" i="14"/>
  <c r="H326" i="14"/>
  <c r="H319" i="14"/>
  <c r="H316" i="14"/>
  <c r="H300" i="14"/>
  <c r="H283" i="14"/>
  <c r="H272" i="14"/>
  <c r="H270" i="14"/>
  <c r="H268" i="14"/>
  <c r="H257" i="14"/>
  <c r="I129" i="9" s="1"/>
  <c r="H236" i="14"/>
  <c r="H10" i="14" s="1"/>
  <c r="H231" i="14"/>
  <c r="H226" i="14"/>
  <c r="H223" i="14"/>
  <c r="H222" i="14" s="1"/>
  <c r="H215" i="14"/>
  <c r="H214" i="14" s="1"/>
  <c r="H213" i="14" s="1"/>
  <c r="H210" i="14"/>
  <c r="I111" i="9" s="1"/>
  <c r="H208" i="14"/>
  <c r="I110" i="9" s="1"/>
  <c r="H203" i="14"/>
  <c r="I109" i="9" s="1"/>
  <c r="H201" i="14"/>
  <c r="I108" i="9" s="1"/>
  <c r="H193" i="14"/>
  <c r="I107" i="9" s="1"/>
  <c r="H188" i="14"/>
  <c r="I106" i="9" s="1"/>
  <c r="H178" i="14"/>
  <c r="I105" i="9" s="1"/>
  <c r="H175" i="14"/>
  <c r="H160" i="14"/>
  <c r="I103" i="9" s="1"/>
  <c r="H156" i="14"/>
  <c r="I102" i="9" s="1"/>
  <c r="H147" i="14"/>
  <c r="I101" i="9" s="1"/>
  <c r="H143" i="14"/>
  <c r="I100" i="9" s="1"/>
  <c r="H141" i="14"/>
  <c r="I99" i="9" s="1"/>
  <c r="H122" i="14"/>
  <c r="I98" i="9" s="1"/>
  <c r="H118" i="14"/>
  <c r="I97" i="9" s="1"/>
  <c r="H98" i="14"/>
  <c r="I96" i="9" s="1"/>
  <c r="H93" i="14"/>
  <c r="I95" i="9" s="1"/>
  <c r="H90" i="14"/>
  <c r="I93" i="9" s="1"/>
  <c r="H87" i="14"/>
  <c r="I92" i="9" s="1"/>
  <c r="H83" i="14"/>
  <c r="I91" i="9" s="1"/>
  <c r="H75" i="14"/>
  <c r="I90" i="9" s="1"/>
  <c r="H65" i="14"/>
  <c r="I89" i="9" s="1"/>
  <c r="H60" i="14"/>
  <c r="I87" i="9" s="1"/>
  <c r="H55" i="14"/>
  <c r="I86" i="9" s="1"/>
  <c r="H52" i="14"/>
  <c r="I85" i="9" s="1"/>
  <c r="H46" i="14"/>
  <c r="I84" i="9" s="1"/>
  <c r="H40" i="14"/>
  <c r="I81" i="9" s="1"/>
  <c r="H33" i="14"/>
  <c r="I80" i="9" s="1"/>
  <c r="H25" i="14"/>
  <c r="H20" i="14"/>
  <c r="C46" i="13"/>
  <c r="P46" i="13" s="1"/>
  <c r="C57" i="16"/>
  <c r="C56" i="16"/>
  <c r="I478" i="14"/>
  <c r="G478" i="14"/>
  <c r="I65" i="14"/>
  <c r="J89" i="9" s="1"/>
  <c r="F89" i="9"/>
  <c r="G89" i="9"/>
  <c r="G65" i="14"/>
  <c r="H89" i="9" s="1"/>
  <c r="F21" i="18" l="1"/>
  <c r="I146" i="9"/>
  <c r="I145" i="9" s="1"/>
  <c r="F35" i="16"/>
  <c r="F34" i="16" s="1"/>
  <c r="G5" i="13"/>
  <c r="F32" i="16"/>
  <c r="F31" i="16" s="1"/>
  <c r="G4" i="13"/>
  <c r="H392" i="14"/>
  <c r="I159" i="9" s="1"/>
  <c r="I158" i="9" s="1"/>
  <c r="I157" i="9" s="1"/>
  <c r="F28" i="18"/>
  <c r="F27" i="18" s="1"/>
  <c r="F26" i="18" s="1"/>
  <c r="H242" i="14"/>
  <c r="I128" i="9"/>
  <c r="I127" i="9" s="1"/>
  <c r="I126" i="9" s="1"/>
  <c r="K89" i="9"/>
  <c r="L89" i="9"/>
  <c r="I83" i="9"/>
  <c r="I104" i="9"/>
  <c r="H19" i="14"/>
  <c r="I76" i="9"/>
  <c r="I75" i="9" s="1"/>
  <c r="H24" i="14"/>
  <c r="I78" i="9"/>
  <c r="I77" i="9" s="1"/>
  <c r="I94" i="9"/>
  <c r="I79" i="9"/>
  <c r="I88" i="9"/>
  <c r="H225" i="14"/>
  <c r="H221" i="14" s="1"/>
  <c r="I119" i="9"/>
  <c r="I118" i="9" s="1"/>
  <c r="I117" i="9" s="1"/>
  <c r="C55" i="16"/>
  <c r="C59" i="16" s="1"/>
  <c r="C33" i="16"/>
  <c r="H32" i="14"/>
  <c r="H256" i="14"/>
  <c r="H404" i="14"/>
  <c r="H403" i="14" s="1"/>
  <c r="H64" i="14"/>
  <c r="H230" i="14"/>
  <c r="H92" i="14"/>
  <c r="H340" i="14"/>
  <c r="H339" i="14" s="1"/>
  <c r="H522" i="14"/>
  <c r="H514" i="14" s="1"/>
  <c r="H45" i="14"/>
  <c r="H544" i="14"/>
  <c r="H267" i="14"/>
  <c r="I132" i="9" s="1"/>
  <c r="I131" i="9" s="1"/>
  <c r="I130" i="9" s="1"/>
  <c r="H346" i="14"/>
  <c r="H537" i="14"/>
  <c r="H452" i="14"/>
  <c r="H177" i="14"/>
  <c r="H371" i="14"/>
  <c r="H422" i="14"/>
  <c r="H432" i="14"/>
  <c r="H529" i="14"/>
  <c r="H565" i="14"/>
  <c r="H564" i="14" s="1"/>
  <c r="H484" i="14"/>
  <c r="F10" i="18" l="1"/>
  <c r="F30" i="16"/>
  <c r="H241" i="14"/>
  <c r="I139" i="9"/>
  <c r="H18" i="14"/>
  <c r="I82" i="9"/>
  <c r="G3" i="13"/>
  <c r="H528" i="14"/>
  <c r="H513" i="14" s="1"/>
  <c r="H512" i="14" s="1"/>
  <c r="H345" i="14"/>
  <c r="H338" i="14" s="1"/>
  <c r="H13" i="14" s="1"/>
  <c r="F42" i="16" s="1"/>
  <c r="H266" i="14"/>
  <c r="H421" i="14"/>
  <c r="H402" i="14" s="1"/>
  <c r="H401" i="14" s="1"/>
  <c r="H44" i="14"/>
  <c r="G119" i="9"/>
  <c r="G118" i="9" s="1"/>
  <c r="G117" i="9" s="1"/>
  <c r="G111" i="9"/>
  <c r="G110" i="9"/>
  <c r="G109" i="9"/>
  <c r="G108" i="9"/>
  <c r="G107" i="9"/>
  <c r="G106" i="9"/>
  <c r="G105" i="9"/>
  <c r="G103" i="9"/>
  <c r="G102" i="9"/>
  <c r="G101" i="9"/>
  <c r="G100" i="9"/>
  <c r="G99" i="9"/>
  <c r="G98" i="9"/>
  <c r="G97" i="9"/>
  <c r="G96" i="9"/>
  <c r="G95" i="9"/>
  <c r="G93" i="9"/>
  <c r="G92" i="9"/>
  <c r="G91" i="9"/>
  <c r="G90" i="9"/>
  <c r="G87" i="9"/>
  <c r="G86" i="9"/>
  <c r="G85" i="9"/>
  <c r="L85" i="9" s="1"/>
  <c r="G84" i="9"/>
  <c r="G81" i="9"/>
  <c r="G80" i="9"/>
  <c r="G78" i="9"/>
  <c r="G77" i="9" s="1"/>
  <c r="G76" i="9"/>
  <c r="G75" i="9" s="1"/>
  <c r="F111" i="9"/>
  <c r="F110" i="9"/>
  <c r="F109" i="9"/>
  <c r="F108" i="9"/>
  <c r="F107" i="9"/>
  <c r="F106" i="9"/>
  <c r="F105" i="9"/>
  <c r="F103" i="9"/>
  <c r="F102" i="9"/>
  <c r="F101" i="9"/>
  <c r="F100" i="9"/>
  <c r="F99" i="9"/>
  <c r="F98" i="9"/>
  <c r="F97" i="9"/>
  <c r="F96" i="9"/>
  <c r="F95" i="9"/>
  <c r="F93" i="9"/>
  <c r="F92" i="9"/>
  <c r="F90" i="9"/>
  <c r="F87" i="9"/>
  <c r="F86" i="9"/>
  <c r="F85" i="9"/>
  <c r="K85" i="9" s="1"/>
  <c r="F84" i="9"/>
  <c r="F81" i="9"/>
  <c r="F80" i="9"/>
  <c r="G79" i="9" l="1"/>
  <c r="G74" i="9" s="1"/>
  <c r="G94" i="9"/>
  <c r="F78" i="9"/>
  <c r="F77" i="9" s="1"/>
  <c r="F79" i="9"/>
  <c r="F88" i="9"/>
  <c r="F76" i="9"/>
  <c r="F75" i="9" s="1"/>
  <c r="F119" i="9"/>
  <c r="F118" i="9" s="1"/>
  <c r="F117" i="9" s="1"/>
  <c r="G88" i="9"/>
  <c r="F83" i="9"/>
  <c r="F104" i="9"/>
  <c r="F94" i="9"/>
  <c r="G83" i="9"/>
  <c r="G104" i="9"/>
  <c r="C31" i="16"/>
  <c r="C35" i="16"/>
  <c r="C34" i="16" s="1"/>
  <c r="H17" i="14"/>
  <c r="H9" i="14" s="1"/>
  <c r="H11" i="14"/>
  <c r="H6" i="14" s="1"/>
  <c r="F47" i="16"/>
  <c r="F46" i="16" s="1"/>
  <c r="F74" i="9" l="1"/>
  <c r="H5" i="14"/>
  <c r="H8" i="14"/>
  <c r="G82" i="9"/>
  <c r="G73" i="9" s="1"/>
  <c r="F82" i="9"/>
  <c r="C30" i="16"/>
  <c r="F41" i="16"/>
  <c r="F40" i="16" s="1"/>
  <c r="F44" i="16"/>
  <c r="F43" i="16" s="1"/>
  <c r="D45" i="16"/>
  <c r="C42" i="16"/>
  <c r="M374" i="10"/>
  <c r="N374" i="10"/>
  <c r="O374" i="10"/>
  <c r="P374" i="10"/>
  <c r="L374" i="10"/>
  <c r="M220" i="10"/>
  <c r="M152" i="10"/>
  <c r="N152" i="10"/>
  <c r="O152" i="10"/>
  <c r="P152" i="10"/>
  <c r="L152" i="10"/>
  <c r="L220" i="10"/>
  <c r="M315" i="10"/>
  <c r="N315" i="10"/>
  <c r="O315" i="10"/>
  <c r="P315" i="10"/>
  <c r="L315" i="10"/>
  <c r="H4" i="14" l="1"/>
  <c r="F39" i="16"/>
  <c r="F73" i="9"/>
  <c r="F72" i="9" s="1"/>
  <c r="D44" i="16"/>
  <c r="D43" i="16" s="1"/>
  <c r="C41" i="16"/>
  <c r="C40" i="16" s="1"/>
  <c r="C47" i="16"/>
  <c r="C46" i="16" s="1"/>
  <c r="R374" i="10"/>
  <c r="Q374" i="10"/>
  <c r="Q152" i="10"/>
  <c r="R152" i="10"/>
  <c r="Q315" i="10"/>
  <c r="R315" i="10"/>
  <c r="D42" i="16" l="1"/>
  <c r="D41" i="16"/>
  <c r="C44" i="16"/>
  <c r="C43" i="16" s="1"/>
  <c r="C39" i="16" s="1"/>
  <c r="M411" i="10"/>
  <c r="N411" i="10"/>
  <c r="O411" i="10"/>
  <c r="P411" i="10"/>
  <c r="Q411" i="10"/>
  <c r="R411" i="10"/>
  <c r="S411" i="10"/>
  <c r="L411" i="10"/>
  <c r="M410" i="10"/>
  <c r="N410" i="10"/>
  <c r="O410" i="10"/>
  <c r="P410" i="10"/>
  <c r="L410" i="10"/>
  <c r="M407" i="10"/>
  <c r="M406" i="10" s="1"/>
  <c r="N407" i="10"/>
  <c r="N406" i="10" s="1"/>
  <c r="O407" i="10"/>
  <c r="O406" i="10" s="1"/>
  <c r="P407" i="10"/>
  <c r="L407" i="10"/>
  <c r="L406" i="10" s="1"/>
  <c r="M405" i="10"/>
  <c r="M404" i="10" s="1"/>
  <c r="N405" i="10"/>
  <c r="N404" i="10" s="1"/>
  <c r="O405" i="10"/>
  <c r="O404" i="10" s="1"/>
  <c r="P405" i="10"/>
  <c r="L405" i="10"/>
  <c r="L404" i="10" s="1"/>
  <c r="M403" i="10"/>
  <c r="N403" i="10"/>
  <c r="O403" i="10"/>
  <c r="P403" i="10"/>
  <c r="L403" i="10"/>
  <c r="M402" i="10"/>
  <c r="N402" i="10"/>
  <c r="O402" i="10"/>
  <c r="P402" i="10"/>
  <c r="L402" i="10"/>
  <c r="M401" i="10"/>
  <c r="N401" i="10"/>
  <c r="O401" i="10"/>
  <c r="P401" i="10"/>
  <c r="L401" i="10"/>
  <c r="M400" i="10"/>
  <c r="N400" i="10"/>
  <c r="O400" i="10"/>
  <c r="P400" i="10"/>
  <c r="L400" i="10"/>
  <c r="M397" i="10"/>
  <c r="N397" i="10"/>
  <c r="O397" i="10"/>
  <c r="P397" i="10"/>
  <c r="L397" i="10"/>
  <c r="M396" i="10"/>
  <c r="N396" i="10"/>
  <c r="O396" i="10"/>
  <c r="P396" i="10"/>
  <c r="L396" i="10"/>
  <c r="M393" i="10"/>
  <c r="N393" i="10"/>
  <c r="O393" i="10"/>
  <c r="P393" i="10"/>
  <c r="M394" i="10"/>
  <c r="N394" i="10"/>
  <c r="O394" i="10"/>
  <c r="P394" i="10"/>
  <c r="L394" i="10"/>
  <c r="L393" i="10"/>
  <c r="M388" i="10"/>
  <c r="N388" i="10"/>
  <c r="O388" i="10"/>
  <c r="P388" i="10"/>
  <c r="M389" i="10"/>
  <c r="N389" i="10"/>
  <c r="O389" i="10"/>
  <c r="P389" i="10"/>
  <c r="M390" i="10"/>
  <c r="N390" i="10"/>
  <c r="O390" i="10"/>
  <c r="P390" i="10"/>
  <c r="L390" i="10"/>
  <c r="L389" i="10"/>
  <c r="L388" i="10"/>
  <c r="M386" i="10"/>
  <c r="M385" i="10" s="1"/>
  <c r="N386" i="10"/>
  <c r="N385" i="10" s="1"/>
  <c r="O386" i="10"/>
  <c r="O385" i="10" s="1"/>
  <c r="P386" i="10"/>
  <c r="L386" i="10"/>
  <c r="L385" i="10" s="1"/>
  <c r="M384" i="10"/>
  <c r="N384" i="10"/>
  <c r="N383" i="10" s="1"/>
  <c r="O384" i="10"/>
  <c r="O383" i="10" s="1"/>
  <c r="P384" i="10"/>
  <c r="L384" i="10"/>
  <c r="M348" i="10"/>
  <c r="N348" i="10"/>
  <c r="O348" i="10"/>
  <c r="P348" i="10"/>
  <c r="L348" i="10"/>
  <c r="M94" i="10"/>
  <c r="M93" i="10" s="1"/>
  <c r="M92" i="10" s="1"/>
  <c r="N94" i="10"/>
  <c r="N93" i="10" s="1"/>
  <c r="N92" i="10" s="1"/>
  <c r="O94" i="10"/>
  <c r="O93" i="10" s="1"/>
  <c r="O92" i="10" s="1"/>
  <c r="P94" i="10"/>
  <c r="L94" i="10"/>
  <c r="L93" i="10" s="1"/>
  <c r="P213" i="10"/>
  <c r="P214" i="10"/>
  <c r="M214" i="10"/>
  <c r="N214" i="10"/>
  <c r="O214" i="10"/>
  <c r="L214" i="10"/>
  <c r="M103" i="10"/>
  <c r="N103" i="10"/>
  <c r="O103" i="10"/>
  <c r="P103" i="10"/>
  <c r="L103" i="10"/>
  <c r="M151" i="10"/>
  <c r="N151" i="10"/>
  <c r="O151" i="10"/>
  <c r="P151" i="10"/>
  <c r="L151" i="10"/>
  <c r="M142" i="10"/>
  <c r="N142" i="10"/>
  <c r="O142" i="10"/>
  <c r="P142" i="10"/>
  <c r="L142" i="10"/>
  <c r="M300" i="10"/>
  <c r="M299" i="10" s="1"/>
  <c r="N300" i="10"/>
  <c r="N299" i="10" s="1"/>
  <c r="O300" i="10"/>
  <c r="O299" i="10" s="1"/>
  <c r="P300" i="10"/>
  <c r="L300" i="10"/>
  <c r="M232" i="10"/>
  <c r="M231" i="10" s="1"/>
  <c r="N232" i="10"/>
  <c r="N231" i="10" s="1"/>
  <c r="O232" i="10"/>
  <c r="O231" i="10" s="1"/>
  <c r="P232" i="10"/>
  <c r="L232" i="10"/>
  <c r="L231" i="10" s="1"/>
  <c r="D81" i="20"/>
  <c r="E81" i="20"/>
  <c r="F81" i="20"/>
  <c r="G81" i="20"/>
  <c r="J81" i="20" s="1"/>
  <c r="D82" i="20"/>
  <c r="E82" i="20"/>
  <c r="F82" i="20"/>
  <c r="G82" i="20"/>
  <c r="J82" i="20" s="1"/>
  <c r="D83" i="20"/>
  <c r="E83" i="20"/>
  <c r="F83" i="20"/>
  <c r="G83" i="20"/>
  <c r="J83" i="20" s="1"/>
  <c r="D84" i="20"/>
  <c r="E84" i="20"/>
  <c r="F84" i="20"/>
  <c r="G84" i="20"/>
  <c r="J84" i="20" s="1"/>
  <c r="D85" i="20"/>
  <c r="E85" i="20"/>
  <c r="F85" i="20"/>
  <c r="G85" i="20"/>
  <c r="J85" i="20" s="1"/>
  <c r="D86" i="20"/>
  <c r="E86" i="20"/>
  <c r="F86" i="20"/>
  <c r="G86" i="20"/>
  <c r="J86" i="20" s="1"/>
  <c r="D87" i="20"/>
  <c r="E87" i="20"/>
  <c r="F87" i="20"/>
  <c r="G87" i="20"/>
  <c r="J87" i="20" s="1"/>
  <c r="D88" i="20"/>
  <c r="E88" i="20"/>
  <c r="F88" i="20"/>
  <c r="G88" i="20"/>
  <c r="J88" i="20" s="1"/>
  <c r="D89" i="20"/>
  <c r="E89" i="20"/>
  <c r="F89" i="20"/>
  <c r="G89" i="20"/>
  <c r="J89" i="20" s="1"/>
  <c r="D72" i="20"/>
  <c r="D73" i="20"/>
  <c r="E73" i="20"/>
  <c r="F73" i="20"/>
  <c r="G73" i="20"/>
  <c r="J73" i="20" s="1"/>
  <c r="D74" i="20"/>
  <c r="E74" i="20"/>
  <c r="F74" i="20"/>
  <c r="G74" i="20"/>
  <c r="J74" i="20" s="1"/>
  <c r="D75" i="20"/>
  <c r="E75" i="20"/>
  <c r="F75" i="20"/>
  <c r="G75" i="20"/>
  <c r="J75" i="20" s="1"/>
  <c r="D76" i="20"/>
  <c r="E76" i="20"/>
  <c r="F76" i="20"/>
  <c r="G76" i="20"/>
  <c r="J76" i="20" s="1"/>
  <c r="D77" i="20"/>
  <c r="E77" i="20"/>
  <c r="F77" i="20"/>
  <c r="G77" i="20"/>
  <c r="J77" i="20" s="1"/>
  <c r="D78" i="20"/>
  <c r="E78" i="20"/>
  <c r="F78" i="20"/>
  <c r="G78" i="20"/>
  <c r="J78" i="20" s="1"/>
  <c r="D79" i="20"/>
  <c r="E79" i="20"/>
  <c r="F79" i="20"/>
  <c r="G79" i="20"/>
  <c r="J79" i="20" s="1"/>
  <c r="D65" i="20"/>
  <c r="E65" i="20"/>
  <c r="F65" i="20"/>
  <c r="G65" i="20"/>
  <c r="J65" i="20" s="1"/>
  <c r="D66" i="20"/>
  <c r="E66" i="20"/>
  <c r="F66" i="20"/>
  <c r="G66" i="20"/>
  <c r="J66" i="20" s="1"/>
  <c r="D67" i="20"/>
  <c r="D68" i="20"/>
  <c r="E68" i="20"/>
  <c r="F68" i="20"/>
  <c r="G68" i="20"/>
  <c r="J68" i="20" s="1"/>
  <c r="D69" i="20"/>
  <c r="E69" i="20"/>
  <c r="F69" i="20"/>
  <c r="G69" i="20"/>
  <c r="J69" i="20" s="1"/>
  <c r="D70" i="20"/>
  <c r="E70" i="20"/>
  <c r="F70" i="20"/>
  <c r="G70" i="20"/>
  <c r="J70" i="20" s="1"/>
  <c r="D58" i="20"/>
  <c r="E58" i="20"/>
  <c r="F58" i="20"/>
  <c r="G58" i="20"/>
  <c r="J58" i="20" s="1"/>
  <c r="D59" i="20"/>
  <c r="E59" i="20"/>
  <c r="F59" i="20"/>
  <c r="G59" i="20"/>
  <c r="J59" i="20" s="1"/>
  <c r="D60" i="20"/>
  <c r="E60" i="20"/>
  <c r="F60" i="20"/>
  <c r="G60" i="20"/>
  <c r="J60" i="20" s="1"/>
  <c r="D61" i="20"/>
  <c r="E61" i="20"/>
  <c r="F61" i="20"/>
  <c r="G61" i="20"/>
  <c r="J61" i="20" s="1"/>
  <c r="D62" i="20"/>
  <c r="E62" i="20"/>
  <c r="F62" i="20"/>
  <c r="G62" i="20"/>
  <c r="J62" i="20" s="1"/>
  <c r="D63" i="20"/>
  <c r="E63" i="20"/>
  <c r="F63" i="20"/>
  <c r="G63" i="20"/>
  <c r="J63" i="20" s="1"/>
  <c r="D51" i="20"/>
  <c r="E51" i="20"/>
  <c r="F51" i="20"/>
  <c r="G51" i="20"/>
  <c r="J51" i="20" s="1"/>
  <c r="D52" i="20"/>
  <c r="E52" i="20"/>
  <c r="F52" i="20"/>
  <c r="G52" i="20"/>
  <c r="J52" i="20" s="1"/>
  <c r="D53" i="20"/>
  <c r="D54" i="20"/>
  <c r="E54" i="20"/>
  <c r="F54" i="20"/>
  <c r="G54" i="20"/>
  <c r="J54" i="20" s="1"/>
  <c r="D55" i="20"/>
  <c r="E55" i="20"/>
  <c r="F55" i="20"/>
  <c r="G55" i="20"/>
  <c r="J55" i="20" s="1"/>
  <c r="D56" i="20"/>
  <c r="E56" i="20"/>
  <c r="F56" i="20"/>
  <c r="G56" i="20"/>
  <c r="J56" i="20" s="1"/>
  <c r="D44" i="20"/>
  <c r="E44" i="20"/>
  <c r="F44" i="20"/>
  <c r="G44" i="20"/>
  <c r="J44" i="20" s="1"/>
  <c r="D45" i="20"/>
  <c r="E45" i="20"/>
  <c r="F45" i="20"/>
  <c r="G45" i="20"/>
  <c r="J45" i="20" s="1"/>
  <c r="D46" i="20"/>
  <c r="E46" i="20"/>
  <c r="F46" i="20"/>
  <c r="G46" i="20"/>
  <c r="J46" i="20" s="1"/>
  <c r="D47" i="20"/>
  <c r="E47" i="20"/>
  <c r="F47" i="20"/>
  <c r="G47" i="20"/>
  <c r="J47" i="20" s="1"/>
  <c r="D48" i="20"/>
  <c r="E48" i="20"/>
  <c r="F48" i="20"/>
  <c r="G48" i="20"/>
  <c r="J48" i="20" s="1"/>
  <c r="D49" i="20"/>
  <c r="E49" i="20"/>
  <c r="F49" i="20"/>
  <c r="G49" i="20"/>
  <c r="J49" i="20" s="1"/>
  <c r="D34" i="20"/>
  <c r="E34" i="20"/>
  <c r="F34" i="20"/>
  <c r="G34" i="20"/>
  <c r="J34" i="20" s="1"/>
  <c r="D35" i="20"/>
  <c r="E35" i="20"/>
  <c r="F35" i="20"/>
  <c r="G35" i="20"/>
  <c r="J35" i="20" s="1"/>
  <c r="D36" i="20"/>
  <c r="E36" i="20"/>
  <c r="F36" i="20"/>
  <c r="G36" i="20"/>
  <c r="J36" i="20" s="1"/>
  <c r="D37" i="20"/>
  <c r="D38" i="20"/>
  <c r="E38" i="20"/>
  <c r="F38" i="20"/>
  <c r="G38" i="20"/>
  <c r="J38" i="20" s="1"/>
  <c r="D39" i="20"/>
  <c r="D40" i="20"/>
  <c r="E40" i="20"/>
  <c r="F40" i="20"/>
  <c r="G40" i="20"/>
  <c r="J40" i="20" s="1"/>
  <c r="D41" i="20"/>
  <c r="E41" i="20"/>
  <c r="F41" i="20"/>
  <c r="G41" i="20"/>
  <c r="J41" i="20" s="1"/>
  <c r="D42" i="20"/>
  <c r="E42" i="20"/>
  <c r="F42" i="20"/>
  <c r="G42" i="20"/>
  <c r="J42" i="20" s="1"/>
  <c r="D27" i="20"/>
  <c r="E27" i="20"/>
  <c r="F27" i="20"/>
  <c r="G27" i="20"/>
  <c r="J27" i="20" s="1"/>
  <c r="D28" i="20"/>
  <c r="E28" i="20"/>
  <c r="F28" i="20"/>
  <c r="G28" i="20"/>
  <c r="J28" i="20" s="1"/>
  <c r="D29" i="20"/>
  <c r="E29" i="20"/>
  <c r="F29" i="20"/>
  <c r="G29" i="20"/>
  <c r="J29" i="20" s="1"/>
  <c r="D30" i="20"/>
  <c r="E30" i="20"/>
  <c r="F30" i="20"/>
  <c r="G30" i="20"/>
  <c r="J30" i="20" s="1"/>
  <c r="D31" i="20"/>
  <c r="E31" i="20"/>
  <c r="F31" i="20"/>
  <c r="G31" i="20"/>
  <c r="J31" i="20" s="1"/>
  <c r="D32" i="20"/>
  <c r="E32" i="20"/>
  <c r="F32" i="20"/>
  <c r="G32" i="20"/>
  <c r="J32" i="20" s="1"/>
  <c r="D13" i="20"/>
  <c r="E13" i="20"/>
  <c r="F13" i="20"/>
  <c r="G13" i="20"/>
  <c r="J13" i="20" s="1"/>
  <c r="D14" i="20"/>
  <c r="E14" i="20"/>
  <c r="F14" i="20"/>
  <c r="G14" i="20"/>
  <c r="J14" i="20" s="1"/>
  <c r="D15" i="20"/>
  <c r="E15" i="20"/>
  <c r="F15" i="20"/>
  <c r="G15" i="20"/>
  <c r="J15" i="20" s="1"/>
  <c r="D16" i="20"/>
  <c r="E16" i="20"/>
  <c r="F16" i="20"/>
  <c r="G16" i="20"/>
  <c r="J16" i="20" s="1"/>
  <c r="D17" i="20"/>
  <c r="E17" i="20"/>
  <c r="F17" i="20"/>
  <c r="G17" i="20"/>
  <c r="J17" i="20" s="1"/>
  <c r="D18" i="20"/>
  <c r="E18" i="20"/>
  <c r="F18" i="20"/>
  <c r="G18" i="20"/>
  <c r="J18" i="20" s="1"/>
  <c r="D19" i="20"/>
  <c r="E19" i="20"/>
  <c r="F19" i="20"/>
  <c r="G19" i="20"/>
  <c r="J19" i="20" s="1"/>
  <c r="D21" i="20"/>
  <c r="E21" i="20"/>
  <c r="F21" i="20"/>
  <c r="G21" i="20"/>
  <c r="J21" i="20" s="1"/>
  <c r="D22" i="20"/>
  <c r="E22" i="20"/>
  <c r="F22" i="20"/>
  <c r="G22" i="20"/>
  <c r="J22" i="20" s="1"/>
  <c r="D23" i="20"/>
  <c r="E23" i="20"/>
  <c r="F23" i="20"/>
  <c r="G23" i="20"/>
  <c r="J23" i="20" s="1"/>
  <c r="D24" i="20"/>
  <c r="E24" i="20"/>
  <c r="F24" i="20"/>
  <c r="G24" i="20"/>
  <c r="J24" i="20" s="1"/>
  <c r="D25" i="20"/>
  <c r="E25" i="20"/>
  <c r="F25" i="20"/>
  <c r="G25" i="20"/>
  <c r="J25" i="20" s="1"/>
  <c r="C89" i="20"/>
  <c r="C88" i="20"/>
  <c r="C87" i="20"/>
  <c r="C86" i="20"/>
  <c r="C85" i="20"/>
  <c r="C84" i="20"/>
  <c r="C83" i="20"/>
  <c r="C82" i="20"/>
  <c r="C81" i="20"/>
  <c r="C79" i="20"/>
  <c r="C78" i="20"/>
  <c r="C77" i="20"/>
  <c r="C76" i="20"/>
  <c r="C75" i="20"/>
  <c r="C74" i="20"/>
  <c r="C73" i="20"/>
  <c r="C72" i="20"/>
  <c r="C70" i="20"/>
  <c r="C69" i="20"/>
  <c r="C68" i="20"/>
  <c r="C67" i="20"/>
  <c r="C66" i="20"/>
  <c r="C65" i="20"/>
  <c r="C63" i="20"/>
  <c r="C62" i="20"/>
  <c r="C61" i="20"/>
  <c r="C60" i="20"/>
  <c r="C59" i="20"/>
  <c r="C58" i="20"/>
  <c r="C56" i="20"/>
  <c r="C55" i="20"/>
  <c r="C54" i="20"/>
  <c r="C53" i="20"/>
  <c r="C52" i="20"/>
  <c r="C51" i="20"/>
  <c r="C49" i="20"/>
  <c r="C48" i="20"/>
  <c r="C47" i="20"/>
  <c r="C46" i="20"/>
  <c r="C45" i="20"/>
  <c r="C44" i="20"/>
  <c r="C42" i="20"/>
  <c r="C41" i="20"/>
  <c r="C40" i="20"/>
  <c r="C39" i="20"/>
  <c r="C38" i="20"/>
  <c r="C37" i="20"/>
  <c r="C36" i="20"/>
  <c r="C35" i="20"/>
  <c r="C34" i="20"/>
  <c r="C32" i="20"/>
  <c r="C31" i="20"/>
  <c r="C30" i="20"/>
  <c r="C29" i="20"/>
  <c r="C28" i="20"/>
  <c r="C27" i="20"/>
  <c r="C25" i="20"/>
  <c r="C24" i="20"/>
  <c r="C23" i="20"/>
  <c r="C22" i="20"/>
  <c r="C21" i="20"/>
  <c r="C19" i="20"/>
  <c r="C18" i="20"/>
  <c r="C17" i="20"/>
  <c r="C16" i="20"/>
  <c r="C15" i="20"/>
  <c r="C14" i="20"/>
  <c r="C13" i="20"/>
  <c r="D12" i="20"/>
  <c r="E12" i="20"/>
  <c r="F12" i="20"/>
  <c r="G12" i="20"/>
  <c r="J12" i="20" s="1"/>
  <c r="C12" i="20"/>
  <c r="G491" i="14"/>
  <c r="I491" i="14"/>
  <c r="D491" i="14"/>
  <c r="I283" i="14"/>
  <c r="P220" i="10" s="1"/>
  <c r="I122" i="14"/>
  <c r="J98" i="9" s="1"/>
  <c r="D300" i="14"/>
  <c r="G283" i="14"/>
  <c r="N220" i="10" s="1"/>
  <c r="O220" i="10"/>
  <c r="D283" i="14"/>
  <c r="D40" i="16" l="1"/>
  <c r="K98" i="9"/>
  <c r="L98" i="9"/>
  <c r="P231" i="10"/>
  <c r="D47" i="16"/>
  <c r="D46" i="16" s="1"/>
  <c r="P404" i="10"/>
  <c r="P385" i="10"/>
  <c r="F20" i="20"/>
  <c r="E20" i="20"/>
  <c r="L409" i="10"/>
  <c r="L408" i="10" s="1"/>
  <c r="N409" i="10"/>
  <c r="N408" i="10" s="1"/>
  <c r="D20" i="20"/>
  <c r="M409" i="10"/>
  <c r="M408" i="10" s="1"/>
  <c r="P409" i="10"/>
  <c r="O409" i="10"/>
  <c r="O408" i="10" s="1"/>
  <c r="R405" i="10"/>
  <c r="Q405" i="10"/>
  <c r="O398" i="10"/>
  <c r="M398" i="10"/>
  <c r="Q403" i="10"/>
  <c r="L398" i="10"/>
  <c r="P398" i="10"/>
  <c r="N398" i="10"/>
  <c r="R403" i="10"/>
  <c r="Q389" i="10"/>
  <c r="R400" i="10"/>
  <c r="Q94" i="10"/>
  <c r="R389" i="10"/>
  <c r="R388" i="10"/>
  <c r="Q388" i="10"/>
  <c r="P387" i="10"/>
  <c r="L387" i="10"/>
  <c r="N387" i="10"/>
  <c r="N382" i="10" s="1"/>
  <c r="O387" i="10"/>
  <c r="O382" i="10" s="1"/>
  <c r="M387" i="10"/>
  <c r="L392" i="10"/>
  <c r="Q401" i="10"/>
  <c r="N395" i="10"/>
  <c r="O395" i="10"/>
  <c r="P406" i="10"/>
  <c r="Q407" i="10"/>
  <c r="M392" i="10"/>
  <c r="N392" i="10"/>
  <c r="Q393" i="10"/>
  <c r="L395" i="10"/>
  <c r="R214" i="10"/>
  <c r="P383" i="10"/>
  <c r="Q384" i="10"/>
  <c r="O392" i="10"/>
  <c r="M395" i="10"/>
  <c r="L383" i="10"/>
  <c r="Q214" i="10"/>
  <c r="M383" i="10"/>
  <c r="R393" i="10"/>
  <c r="R94" i="10"/>
  <c r="Q396" i="10"/>
  <c r="P93" i="10"/>
  <c r="Q386" i="10"/>
  <c r="R396" i="10"/>
  <c r="Q400" i="10"/>
  <c r="Q394" i="10"/>
  <c r="R384" i="10"/>
  <c r="R386" i="10"/>
  <c r="P392" i="10"/>
  <c r="R399" i="10"/>
  <c r="R401" i="10"/>
  <c r="R407" i="10"/>
  <c r="Q402" i="10"/>
  <c r="Q410" i="10"/>
  <c r="R390" i="10"/>
  <c r="R394" i="10"/>
  <c r="P395" i="10"/>
  <c r="R397" i="10"/>
  <c r="R402" i="10"/>
  <c r="R410" i="10"/>
  <c r="Q390" i="10"/>
  <c r="Q397" i="10"/>
  <c r="L92" i="10"/>
  <c r="Q103" i="10"/>
  <c r="R103" i="10"/>
  <c r="Q151" i="10"/>
  <c r="R142" i="10"/>
  <c r="R151" i="10"/>
  <c r="Q300" i="10"/>
  <c r="Q142" i="10"/>
  <c r="L299" i="10"/>
  <c r="R300" i="10"/>
  <c r="Q232" i="10"/>
  <c r="P299" i="10"/>
  <c r="R232" i="10"/>
  <c r="G20" i="20"/>
  <c r="J20" i="20" s="1"/>
  <c r="C20" i="20"/>
  <c r="D39" i="16" l="1"/>
  <c r="Q385" i="10"/>
  <c r="R385" i="10"/>
  <c r="P408" i="10"/>
  <c r="P92" i="10"/>
  <c r="Q406" i="10"/>
  <c r="R406" i="10"/>
  <c r="O391" i="10"/>
  <c r="O381" i="10" s="1"/>
  <c r="O379" i="10" s="1"/>
  <c r="O378" i="10" s="1"/>
  <c r="F39" i="21" s="1"/>
  <c r="F38" i="21" s="1"/>
  <c r="N391" i="10"/>
  <c r="N381" i="10" s="1"/>
  <c r="M391" i="10"/>
  <c r="P391" i="10"/>
  <c r="L391" i="10"/>
  <c r="M382" i="10"/>
  <c r="L382" i="10"/>
  <c r="R404" i="10"/>
  <c r="Q404" i="10"/>
  <c r="R93" i="10"/>
  <c r="Q93" i="10"/>
  <c r="P382" i="10"/>
  <c r="Q383" i="10"/>
  <c r="R383" i="10"/>
  <c r="Q395" i="10"/>
  <c r="R395" i="10"/>
  <c r="Q392" i="10"/>
  <c r="R392" i="10"/>
  <c r="Q409" i="10"/>
  <c r="R409" i="10"/>
  <c r="R387" i="10"/>
  <c r="Q387" i="10"/>
  <c r="R398" i="10"/>
  <c r="Q299" i="10"/>
  <c r="R299" i="10"/>
  <c r="R231" i="10"/>
  <c r="Q231" i="10"/>
  <c r="I411" i="14"/>
  <c r="D411" i="14"/>
  <c r="G411" i="14"/>
  <c r="K359" i="14"/>
  <c r="Q92" i="10" l="1"/>
  <c r="R408" i="10"/>
  <c r="Q408" i="10"/>
  <c r="R92" i="10"/>
  <c r="M381" i="10"/>
  <c r="M379" i="10" s="1"/>
  <c r="M378" i="10" s="1"/>
  <c r="D39" i="21" s="1"/>
  <c r="D38" i="21" s="1"/>
  <c r="L381" i="10"/>
  <c r="P381" i="10"/>
  <c r="N379" i="10"/>
  <c r="N378" i="10" s="1"/>
  <c r="E39" i="21" s="1"/>
  <c r="E38" i="21" s="1"/>
  <c r="R382" i="10"/>
  <c r="Q382" i="10"/>
  <c r="R391" i="10"/>
  <c r="J3" i="14"/>
  <c r="K3" i="14"/>
  <c r="P379" i="10" l="1"/>
  <c r="R381" i="10"/>
  <c r="I568" i="14"/>
  <c r="G568" i="14"/>
  <c r="D568" i="14"/>
  <c r="I566" i="14"/>
  <c r="G566" i="14"/>
  <c r="D566" i="14"/>
  <c r="I562" i="14"/>
  <c r="I561" i="14" s="1"/>
  <c r="I560" i="14" s="1"/>
  <c r="G562" i="14"/>
  <c r="G561" i="14" s="1"/>
  <c r="G560" i="14" s="1"/>
  <c r="D562" i="14"/>
  <c r="D561" i="14" s="1"/>
  <c r="D560" i="14" s="1"/>
  <c r="G558" i="14"/>
  <c r="D558" i="14"/>
  <c r="I556" i="14"/>
  <c r="G556" i="14"/>
  <c r="D556" i="14"/>
  <c r="I554" i="14"/>
  <c r="G554" i="14"/>
  <c r="D554" i="14"/>
  <c r="I551" i="14"/>
  <c r="G551" i="14"/>
  <c r="D551" i="14"/>
  <c r="I548" i="14"/>
  <c r="G548" i="14"/>
  <c r="D548" i="14"/>
  <c r="I542" i="14"/>
  <c r="G542" i="14"/>
  <c r="D542" i="14"/>
  <c r="I538" i="14"/>
  <c r="G538" i="14"/>
  <c r="D538" i="14"/>
  <c r="I535" i="14"/>
  <c r="G535" i="14"/>
  <c r="D535" i="14"/>
  <c r="I533" i="14"/>
  <c r="G533" i="14"/>
  <c r="D533" i="14"/>
  <c r="I530" i="14"/>
  <c r="G530" i="14"/>
  <c r="D530" i="14"/>
  <c r="I526" i="14"/>
  <c r="G526" i="14"/>
  <c r="D526" i="14"/>
  <c r="I523" i="14"/>
  <c r="G523" i="14"/>
  <c r="D523" i="14"/>
  <c r="I519" i="14"/>
  <c r="I518" i="14" s="1"/>
  <c r="G519" i="14"/>
  <c r="G518" i="14" s="1"/>
  <c r="D519" i="14"/>
  <c r="D518" i="14" s="1"/>
  <c r="I516" i="14"/>
  <c r="I515" i="14" s="1"/>
  <c r="G516" i="14"/>
  <c r="G515" i="14" s="1"/>
  <c r="D516" i="14"/>
  <c r="D515" i="14" s="1"/>
  <c r="F12" i="13"/>
  <c r="E56" i="16" s="1"/>
  <c r="H12" i="13"/>
  <c r="G56" i="16" s="1"/>
  <c r="J56" i="16" s="1"/>
  <c r="F13" i="13"/>
  <c r="E57" i="16" s="1"/>
  <c r="H13" i="13"/>
  <c r="G57" i="16" s="1"/>
  <c r="C8" i="13"/>
  <c r="H130" i="13"/>
  <c r="F130" i="13"/>
  <c r="C130" i="13"/>
  <c r="H128" i="13"/>
  <c r="F128" i="13"/>
  <c r="C128" i="13"/>
  <c r="H126" i="13"/>
  <c r="H125" i="13" s="1"/>
  <c r="F126" i="13"/>
  <c r="F125" i="13" s="1"/>
  <c r="C126" i="13"/>
  <c r="C125" i="13" s="1"/>
  <c r="H123" i="13"/>
  <c r="H122" i="13" s="1"/>
  <c r="F123" i="13"/>
  <c r="F122" i="13" s="1"/>
  <c r="C123" i="13"/>
  <c r="C122" i="13" s="1"/>
  <c r="H120" i="13"/>
  <c r="H119" i="13" s="1"/>
  <c r="F120" i="13"/>
  <c r="F119" i="13" s="1"/>
  <c r="C120" i="13"/>
  <c r="C119" i="13" s="1"/>
  <c r="H117" i="13"/>
  <c r="H116" i="13" s="1"/>
  <c r="F117" i="13"/>
  <c r="F116" i="13" s="1"/>
  <c r="C117" i="13"/>
  <c r="C116" i="13" s="1"/>
  <c r="C12" i="13"/>
  <c r="C13" i="13"/>
  <c r="E55" i="16" l="1"/>
  <c r="H115" i="13"/>
  <c r="I57" i="16"/>
  <c r="J57" i="16"/>
  <c r="G55" i="16"/>
  <c r="I56" i="16"/>
  <c r="C5" i="13"/>
  <c r="C115" i="13"/>
  <c r="C9" i="13" s="1"/>
  <c r="C6" i="13" s="1"/>
  <c r="H57" i="16"/>
  <c r="H56" i="16"/>
  <c r="I522" i="14"/>
  <c r="I514" i="14" s="1"/>
  <c r="D544" i="14"/>
  <c r="R379" i="10"/>
  <c r="P378" i="10"/>
  <c r="G39" i="21" s="1"/>
  <c r="I565" i="14"/>
  <c r="I564" i="14" s="1"/>
  <c r="I544" i="14"/>
  <c r="I537" i="14"/>
  <c r="I529" i="14"/>
  <c r="D522" i="14"/>
  <c r="D514" i="14" s="1"/>
  <c r="G544" i="14"/>
  <c r="G522" i="14"/>
  <c r="G514" i="14" s="1"/>
  <c r="D565" i="14"/>
  <c r="D564" i="14" s="1"/>
  <c r="D537" i="14"/>
  <c r="G565" i="14"/>
  <c r="G564" i="14" s="1"/>
  <c r="D529" i="14"/>
  <c r="G529" i="14"/>
  <c r="G537" i="14"/>
  <c r="F115" i="13"/>
  <c r="I55" i="16" l="1"/>
  <c r="J55" i="16"/>
  <c r="H55" i="16"/>
  <c r="H9" i="13"/>
  <c r="G38" i="21"/>
  <c r="I39" i="21"/>
  <c r="R378" i="10"/>
  <c r="I528" i="14"/>
  <c r="F9" i="13"/>
  <c r="E37" i="16" s="1"/>
  <c r="E36" i="16" s="1"/>
  <c r="D528" i="14"/>
  <c r="D513" i="14" s="1"/>
  <c r="D512" i="14" s="1"/>
  <c r="G528" i="14"/>
  <c r="G513" i="14" s="1"/>
  <c r="G512" i="14" s="1"/>
  <c r="G37" i="16" l="1"/>
  <c r="G36" i="16" s="1"/>
  <c r="I513" i="14"/>
  <c r="H6" i="13"/>
  <c r="I38" i="21"/>
  <c r="F6" i="13"/>
  <c r="J12" i="14"/>
  <c r="J37" i="16" l="1"/>
  <c r="I37" i="16"/>
  <c r="H37" i="16"/>
  <c r="I512" i="14"/>
  <c r="K7" i="14"/>
  <c r="E47" i="16"/>
  <c r="E46" i="16" s="1"/>
  <c r="K12" i="14"/>
  <c r="J7" i="14"/>
  <c r="J36" i="16" l="1"/>
  <c r="I36" i="16"/>
  <c r="H36" i="16"/>
  <c r="M376" i="10"/>
  <c r="N376" i="10"/>
  <c r="O376" i="10"/>
  <c r="P376" i="10"/>
  <c r="L376" i="10"/>
  <c r="M293" i="10"/>
  <c r="N293" i="10"/>
  <c r="O293" i="10"/>
  <c r="P293" i="10"/>
  <c r="M292" i="10"/>
  <c r="N292" i="10"/>
  <c r="O292" i="10"/>
  <c r="P292" i="10"/>
  <c r="M291" i="10"/>
  <c r="N291" i="10"/>
  <c r="O291" i="10"/>
  <c r="P291" i="10"/>
  <c r="M184" i="10"/>
  <c r="N184" i="10"/>
  <c r="O184" i="10"/>
  <c r="P184" i="10"/>
  <c r="M185" i="10"/>
  <c r="N185" i="10"/>
  <c r="O185" i="10"/>
  <c r="P185" i="10"/>
  <c r="M186" i="10"/>
  <c r="N186" i="10"/>
  <c r="O186" i="10"/>
  <c r="P186" i="10"/>
  <c r="M187" i="10"/>
  <c r="N187" i="10"/>
  <c r="O187" i="10"/>
  <c r="P187" i="10"/>
  <c r="L184" i="10"/>
  <c r="L185" i="10"/>
  <c r="L186" i="10"/>
  <c r="L187" i="10"/>
  <c r="Q137" i="10"/>
  <c r="R137" i="10"/>
  <c r="M140" i="10"/>
  <c r="N140" i="10"/>
  <c r="O140" i="10"/>
  <c r="P140" i="10"/>
  <c r="L140" i="10"/>
  <c r="M132" i="10"/>
  <c r="N132" i="10"/>
  <c r="O132" i="10"/>
  <c r="P132" i="10"/>
  <c r="M133" i="10"/>
  <c r="N133" i="10"/>
  <c r="O133" i="10"/>
  <c r="P133" i="10"/>
  <c r="M134" i="10"/>
  <c r="N134" i="10"/>
  <c r="O134" i="10"/>
  <c r="P134" i="10"/>
  <c r="M136" i="10"/>
  <c r="N136" i="10"/>
  <c r="O136" i="10"/>
  <c r="P136" i="10"/>
  <c r="L136" i="10"/>
  <c r="L134" i="10"/>
  <c r="L133" i="10"/>
  <c r="L132" i="10"/>
  <c r="M131" i="10"/>
  <c r="N131" i="10"/>
  <c r="O131" i="10"/>
  <c r="P131" i="10"/>
  <c r="L131" i="10"/>
  <c r="M127" i="10"/>
  <c r="M126" i="10" s="1"/>
  <c r="M125" i="10" s="1"/>
  <c r="M124" i="10" s="1"/>
  <c r="N127" i="10"/>
  <c r="N126" i="10" s="1"/>
  <c r="N125" i="10" s="1"/>
  <c r="N124" i="10" s="1"/>
  <c r="O127" i="10"/>
  <c r="O126" i="10" s="1"/>
  <c r="O125" i="10" s="1"/>
  <c r="O124" i="10" s="1"/>
  <c r="P127" i="10"/>
  <c r="L127" i="10"/>
  <c r="L126" i="10" s="1"/>
  <c r="L125" i="10" s="1"/>
  <c r="L124" i="10" s="1"/>
  <c r="M108" i="10"/>
  <c r="N108" i="10"/>
  <c r="O108" i="10"/>
  <c r="P108" i="10"/>
  <c r="L108" i="10"/>
  <c r="M102" i="10"/>
  <c r="N102" i="10"/>
  <c r="O102" i="10"/>
  <c r="P102" i="10"/>
  <c r="L102" i="10"/>
  <c r="M101" i="10"/>
  <c r="N101" i="10"/>
  <c r="O101" i="10"/>
  <c r="P101" i="10"/>
  <c r="L101" i="10"/>
  <c r="M100" i="10"/>
  <c r="N100" i="10"/>
  <c r="O100" i="10"/>
  <c r="P100" i="10"/>
  <c r="L100" i="10"/>
  <c r="M71" i="10"/>
  <c r="M70" i="10" s="1"/>
  <c r="N71" i="10"/>
  <c r="N70" i="10" s="1"/>
  <c r="O71" i="10"/>
  <c r="O70" i="10" s="1"/>
  <c r="P71" i="10"/>
  <c r="L71" i="10"/>
  <c r="L70" i="10" s="1"/>
  <c r="O46" i="10"/>
  <c r="P46" i="10"/>
  <c r="L46" i="10"/>
  <c r="M46" i="10"/>
  <c r="N46" i="10"/>
  <c r="L130" i="10" l="1"/>
  <c r="L129" i="10" s="1"/>
  <c r="P289" i="10"/>
  <c r="O289" i="10"/>
  <c r="O288" i="10" s="1"/>
  <c r="N289" i="10"/>
  <c r="N288" i="10" s="1"/>
  <c r="M289" i="10"/>
  <c r="M288" i="10" s="1"/>
  <c r="G47" i="16"/>
  <c r="G46" i="16" s="1"/>
  <c r="P139" i="10"/>
  <c r="O139" i="10"/>
  <c r="O138" i="10" s="1"/>
  <c r="N139" i="10"/>
  <c r="N138" i="10" s="1"/>
  <c r="M139" i="10"/>
  <c r="M138" i="10" s="1"/>
  <c r="L139" i="10"/>
  <c r="L138" i="10" s="1"/>
  <c r="R291" i="10"/>
  <c r="R179" i="10"/>
  <c r="Q179" i="10"/>
  <c r="Q292" i="10"/>
  <c r="R293" i="10"/>
  <c r="Q291" i="10"/>
  <c r="R292" i="10"/>
  <c r="Q293" i="10"/>
  <c r="Q187" i="10"/>
  <c r="Q184" i="10"/>
  <c r="R186" i="10"/>
  <c r="N183" i="10"/>
  <c r="N182" i="10" s="1"/>
  <c r="R185" i="10"/>
  <c r="Q185" i="10"/>
  <c r="R187" i="10"/>
  <c r="O183" i="10"/>
  <c r="O182" i="10" s="1"/>
  <c r="R184" i="10"/>
  <c r="L183" i="10"/>
  <c r="L182" i="10" s="1"/>
  <c r="Q186" i="10"/>
  <c r="M183" i="10"/>
  <c r="M182" i="10" s="1"/>
  <c r="P183" i="10"/>
  <c r="Q134" i="10"/>
  <c r="N130" i="10"/>
  <c r="N129" i="10" s="1"/>
  <c r="R134" i="10"/>
  <c r="M130" i="10"/>
  <c r="M129" i="10" s="1"/>
  <c r="Q133" i="10"/>
  <c r="Q140" i="10"/>
  <c r="Q131" i="10"/>
  <c r="R140" i="10"/>
  <c r="R102" i="10"/>
  <c r="R127" i="10"/>
  <c r="O130" i="10"/>
  <c r="O129" i="10" s="1"/>
  <c r="Q136" i="10"/>
  <c r="R132" i="10"/>
  <c r="P130" i="10"/>
  <c r="Q132" i="10"/>
  <c r="Q101" i="10"/>
  <c r="Q102" i="10"/>
  <c r="Q127" i="10"/>
  <c r="R100" i="10"/>
  <c r="Q100" i="10"/>
  <c r="R136" i="10"/>
  <c r="R133" i="10"/>
  <c r="R131" i="10"/>
  <c r="P126" i="10"/>
  <c r="R101" i="10"/>
  <c r="R71" i="10"/>
  <c r="Q71" i="10"/>
  <c r="P70" i="10"/>
  <c r="J47" i="16" l="1"/>
  <c r="I47" i="16"/>
  <c r="P288" i="10"/>
  <c r="H47" i="16"/>
  <c r="R289" i="10"/>
  <c r="Q289" i="10"/>
  <c r="P182" i="10"/>
  <c r="R183" i="10"/>
  <c r="Q183" i="10"/>
  <c r="P138" i="10"/>
  <c r="Q139" i="10"/>
  <c r="R139" i="10"/>
  <c r="P125" i="10"/>
  <c r="Q126" i="10"/>
  <c r="R126" i="10"/>
  <c r="P129" i="10"/>
  <c r="Q130" i="10"/>
  <c r="R130" i="10"/>
  <c r="J46" i="16" l="1"/>
  <c r="I46" i="16"/>
  <c r="H46" i="16"/>
  <c r="Q288" i="10"/>
  <c r="R288" i="10"/>
  <c r="R182" i="10"/>
  <c r="Q182" i="10"/>
  <c r="Q138" i="10"/>
  <c r="R138" i="10"/>
  <c r="Q129" i="10"/>
  <c r="R129" i="10"/>
  <c r="P124" i="10"/>
  <c r="R125" i="10"/>
  <c r="Q125" i="10"/>
  <c r="Q124" i="10" l="1"/>
  <c r="R124" i="10"/>
  <c r="G496" i="14" l="1"/>
  <c r="I496" i="14"/>
  <c r="I156" i="14" l="1"/>
  <c r="J102" i="9" s="1"/>
  <c r="K102" i="9" l="1"/>
  <c r="L102" i="9"/>
  <c r="F39" i="20"/>
  <c r="I453" i="14"/>
  <c r="G39" i="20" s="1"/>
  <c r="J39" i="20" s="1"/>
  <c r="G453" i="14"/>
  <c r="E39" i="20" s="1"/>
  <c r="G141" i="14"/>
  <c r="H99" i="9" s="1"/>
  <c r="L272" i="10" l="1"/>
  <c r="M272" i="10"/>
  <c r="N272" i="10"/>
  <c r="O272" i="10"/>
  <c r="P272" i="10"/>
  <c r="K384" i="14" l="1"/>
  <c r="F70" i="13" l="1"/>
  <c r="C70" i="13"/>
  <c r="H70" i="13"/>
  <c r="J53" i="9" s="1"/>
  <c r="J52" i="9" s="1"/>
  <c r="D366" i="14" l="1"/>
  <c r="G366" i="14"/>
  <c r="H149" i="9" s="1"/>
  <c r="I366" i="14"/>
  <c r="J149" i="9" s="1"/>
  <c r="K149" i="9" l="1"/>
  <c r="L149" i="9"/>
  <c r="M284" i="10"/>
  <c r="M283" i="10" s="1"/>
  <c r="M282" i="10" s="1"/>
  <c r="N284" i="10"/>
  <c r="N283" i="10" s="1"/>
  <c r="N282" i="10" s="1"/>
  <c r="O284" i="10"/>
  <c r="O283" i="10" s="1"/>
  <c r="O282" i="10" s="1"/>
  <c r="P284" i="10"/>
  <c r="L284" i="10"/>
  <c r="L283" i="10" s="1"/>
  <c r="L282" i="10" s="1"/>
  <c r="Q68" i="10"/>
  <c r="R68" i="10"/>
  <c r="P69" i="10"/>
  <c r="M69" i="10"/>
  <c r="N69" i="10"/>
  <c r="O69" i="10"/>
  <c r="L69" i="10"/>
  <c r="P283" i="10" l="1"/>
  <c r="R284" i="10"/>
  <c r="Q69" i="10"/>
  <c r="Q284" i="10"/>
  <c r="R70" i="10"/>
  <c r="Q70" i="10"/>
  <c r="R69" i="10"/>
  <c r="R283" i="10" l="1"/>
  <c r="Q283" i="10"/>
  <c r="P282" i="10"/>
  <c r="F85" i="13"/>
  <c r="F84" i="13" s="1"/>
  <c r="F11" i="13" s="1"/>
  <c r="E52" i="16" s="1"/>
  <c r="E54" i="16" s="1"/>
  <c r="E59" i="16" s="1"/>
  <c r="H85" i="13"/>
  <c r="H84" i="13" s="1"/>
  <c r="H11" i="13" s="1"/>
  <c r="G52" i="16" s="1"/>
  <c r="C85" i="13"/>
  <c r="C84" i="13" s="1"/>
  <c r="C11" i="13" s="1"/>
  <c r="J52" i="16" l="1"/>
  <c r="I52" i="16"/>
  <c r="G54" i="16"/>
  <c r="Q282" i="10"/>
  <c r="R282" i="10"/>
  <c r="I54" i="16" l="1"/>
  <c r="J54" i="16"/>
  <c r="G59" i="16"/>
  <c r="M219" i="10"/>
  <c r="N219" i="10"/>
  <c r="O219" i="10"/>
  <c r="P219" i="10"/>
  <c r="L219" i="10"/>
  <c r="H52" i="16"/>
  <c r="H53" i="16"/>
  <c r="H54" i="16"/>
  <c r="I59" i="16" l="1"/>
  <c r="J59" i="16"/>
  <c r="H59" i="16"/>
  <c r="R236" i="10"/>
  <c r="R220" i="10"/>
  <c r="Q220" i="10"/>
  <c r="Q236" i="10"/>
  <c r="J305" i="14"/>
  <c r="J296" i="14"/>
  <c r="M91" i="10" l="1"/>
  <c r="N91" i="10"/>
  <c r="N90" i="10" s="1"/>
  <c r="M90" i="10" l="1"/>
  <c r="L355" i="10" l="1"/>
  <c r="M367" i="10"/>
  <c r="N367" i="10"/>
  <c r="O367" i="10"/>
  <c r="P367" i="10"/>
  <c r="L367" i="10"/>
  <c r="M359" i="10"/>
  <c r="N359" i="10"/>
  <c r="O359" i="10"/>
  <c r="P359" i="10"/>
  <c r="L359" i="10"/>
  <c r="R367" i="10" l="1"/>
  <c r="Q367" i="10"/>
  <c r="R359" i="10"/>
  <c r="Q359" i="10"/>
  <c r="M190" i="10" l="1"/>
  <c r="N190" i="10"/>
  <c r="O190" i="10"/>
  <c r="P190" i="10"/>
  <c r="L190" i="10"/>
  <c r="L189" i="10" s="1"/>
  <c r="P189" i="10" l="1"/>
  <c r="Q190" i="10"/>
  <c r="R190" i="10"/>
  <c r="O189" i="10"/>
  <c r="N189" i="10"/>
  <c r="M189" i="10"/>
  <c r="M355" i="10"/>
  <c r="N355" i="10"/>
  <c r="O355" i="10"/>
  <c r="P355" i="10"/>
  <c r="M357" i="10"/>
  <c r="N357" i="10"/>
  <c r="O357" i="10"/>
  <c r="P357" i="10"/>
  <c r="L357" i="10"/>
  <c r="M350" i="10"/>
  <c r="N350" i="10"/>
  <c r="O350" i="10"/>
  <c r="P350" i="10"/>
  <c r="L350" i="10"/>
  <c r="M347" i="10"/>
  <c r="N347" i="10"/>
  <c r="O347" i="10"/>
  <c r="P347" i="10"/>
  <c r="L347" i="10"/>
  <c r="P19" i="13"/>
  <c r="P20" i="13"/>
  <c r="P21" i="13"/>
  <c r="P22" i="13"/>
  <c r="P23" i="13"/>
  <c r="P24" i="13"/>
  <c r="P25" i="13"/>
  <c r="P27" i="13"/>
  <c r="P28" i="13"/>
  <c r="P30" i="13"/>
  <c r="P31" i="13"/>
  <c r="P33" i="13"/>
  <c r="P36" i="13"/>
  <c r="P55" i="13"/>
  <c r="P58" i="13"/>
  <c r="P59" i="13"/>
  <c r="P61" i="13"/>
  <c r="P62" i="13"/>
  <c r="P63" i="13"/>
  <c r="P64" i="13"/>
  <c r="P66" i="13"/>
  <c r="P67" i="13"/>
  <c r="P68" i="13"/>
  <c r="P72" i="13"/>
  <c r="P74" i="13"/>
  <c r="P77" i="13"/>
  <c r="P80" i="13"/>
  <c r="P83" i="13"/>
  <c r="R189" i="10" l="1"/>
  <c r="Q189" i="10"/>
  <c r="Q355" i="10"/>
  <c r="R355" i="10"/>
  <c r="Q357" i="10"/>
  <c r="R357" i="10"/>
  <c r="R350" i="10"/>
  <c r="Q350" i="10"/>
  <c r="Q347" i="10"/>
  <c r="R347" i="10"/>
  <c r="P39" i="10" l="1"/>
  <c r="O39" i="10"/>
  <c r="N39" i="10"/>
  <c r="M39" i="10"/>
  <c r="L39" i="10"/>
  <c r="K169" i="14"/>
  <c r="G122" i="14"/>
  <c r="H98" i="9" s="1"/>
  <c r="Q39" i="10" l="1"/>
  <c r="R39" i="10"/>
  <c r="G433" i="14" l="1"/>
  <c r="I433" i="14"/>
  <c r="D433" i="14"/>
  <c r="J323" i="14" l="1"/>
  <c r="J295" i="14"/>
  <c r="J294" i="14"/>
  <c r="J293" i="14"/>
  <c r="J292" i="14"/>
  <c r="J168" i="14"/>
  <c r="G503" i="14" l="1"/>
  <c r="I503" i="14"/>
  <c r="D503" i="14"/>
  <c r="G430" i="14"/>
  <c r="I430" i="14"/>
  <c r="D430" i="14"/>
  <c r="G405" i="14"/>
  <c r="I405" i="14"/>
  <c r="D405" i="14"/>
  <c r="L82" i="10" l="1"/>
  <c r="M82" i="10"/>
  <c r="N82" i="10"/>
  <c r="O82" i="10"/>
  <c r="P82" i="10"/>
  <c r="L84" i="10"/>
  <c r="M84" i="10"/>
  <c r="N84" i="10"/>
  <c r="O84" i="10"/>
  <c r="P84" i="10"/>
  <c r="L273" i="10"/>
  <c r="M273" i="10"/>
  <c r="N273" i="10"/>
  <c r="O273" i="10"/>
  <c r="P273" i="10"/>
  <c r="L274" i="10"/>
  <c r="M274" i="10"/>
  <c r="N274" i="10"/>
  <c r="O274" i="10"/>
  <c r="P274" i="10"/>
  <c r="R84" i="10" l="1"/>
  <c r="Q84" i="10"/>
  <c r="Q274" i="10"/>
  <c r="R274" i="10"/>
  <c r="Q273" i="10"/>
  <c r="R273" i="10"/>
  <c r="Q272" i="10"/>
  <c r="R272" i="10"/>
  <c r="Q82" i="10"/>
  <c r="R82" i="10"/>
  <c r="L177" i="10"/>
  <c r="M177" i="10"/>
  <c r="N177" i="10"/>
  <c r="N176" i="10" s="1"/>
  <c r="O177" i="10"/>
  <c r="P177" i="10"/>
  <c r="L178" i="10"/>
  <c r="M178" i="10"/>
  <c r="N178" i="10"/>
  <c r="O178" i="10"/>
  <c r="P178" i="10"/>
  <c r="M42" i="10"/>
  <c r="N42" i="10"/>
  <c r="O42" i="10"/>
  <c r="P42" i="10"/>
  <c r="L42" i="10"/>
  <c r="M176" i="10" l="1"/>
  <c r="L176" i="10"/>
  <c r="P176" i="10"/>
  <c r="O176" i="10"/>
  <c r="O175" i="10"/>
  <c r="O173" i="10" s="1"/>
  <c r="L175" i="10"/>
  <c r="L173" i="10" s="1"/>
  <c r="Q42" i="10"/>
  <c r="R42" i="10"/>
  <c r="Q178" i="10"/>
  <c r="R178" i="10"/>
  <c r="Q177" i="10"/>
  <c r="R177" i="10"/>
  <c r="P175" i="10" l="1"/>
  <c r="Q176" i="10"/>
  <c r="R176" i="10"/>
  <c r="F23" i="21"/>
  <c r="C23" i="21"/>
  <c r="N175" i="10"/>
  <c r="N173" i="10" s="1"/>
  <c r="M175" i="10"/>
  <c r="M173" i="10" s="1"/>
  <c r="P173" i="10" l="1"/>
  <c r="Q175" i="10"/>
  <c r="R175" i="10"/>
  <c r="E23" i="21"/>
  <c r="D23" i="21"/>
  <c r="G23" i="21" l="1"/>
  <c r="R173" i="10"/>
  <c r="Q173" i="10"/>
  <c r="M280" i="10"/>
  <c r="N280" i="10"/>
  <c r="O280" i="10"/>
  <c r="P280" i="10"/>
  <c r="L280" i="10"/>
  <c r="M279" i="10"/>
  <c r="N279" i="10"/>
  <c r="O279" i="10"/>
  <c r="P279" i="10"/>
  <c r="L279" i="10"/>
  <c r="H23" i="21" l="1"/>
  <c r="R280" i="10"/>
  <c r="Q280" i="10"/>
  <c r="R279" i="10"/>
  <c r="Q279" i="10"/>
  <c r="I23" i="21"/>
  <c r="M109" i="10" l="1"/>
  <c r="N109" i="10"/>
  <c r="O109" i="10"/>
  <c r="P109" i="10"/>
  <c r="L109" i="10"/>
  <c r="G380" i="14"/>
  <c r="G98" i="14"/>
  <c r="H96" i="9" s="1"/>
  <c r="R109" i="10" l="1"/>
  <c r="Q109" i="10"/>
  <c r="M213" i="10"/>
  <c r="N213" i="10"/>
  <c r="O213" i="10"/>
  <c r="L213" i="10"/>
  <c r="M330" i="10"/>
  <c r="N330" i="10"/>
  <c r="O330" i="10"/>
  <c r="P330" i="10"/>
  <c r="L330" i="10"/>
  <c r="M122" i="10"/>
  <c r="N122" i="10"/>
  <c r="O122" i="10"/>
  <c r="P122" i="10"/>
  <c r="L122" i="10"/>
  <c r="H70" i="20"/>
  <c r="H69" i="20"/>
  <c r="H63" i="20"/>
  <c r="H62" i="20"/>
  <c r="H61" i="20"/>
  <c r="H60" i="20"/>
  <c r="H59" i="20"/>
  <c r="H58" i="20"/>
  <c r="H55" i="20"/>
  <c r="H54" i="20"/>
  <c r="H52" i="20"/>
  <c r="H51" i="20"/>
  <c r="H49" i="20"/>
  <c r="H48" i="20"/>
  <c r="H47" i="20"/>
  <c r="H46" i="20"/>
  <c r="H45" i="20"/>
  <c r="H42" i="20"/>
  <c r="H41" i="20"/>
  <c r="H40" i="20"/>
  <c r="H38" i="20"/>
  <c r="H36" i="20"/>
  <c r="H35" i="20"/>
  <c r="H34" i="20"/>
  <c r="H32" i="20"/>
  <c r="H31" i="20"/>
  <c r="H30" i="20"/>
  <c r="H29" i="20"/>
  <c r="H27" i="20"/>
  <c r="H25" i="20"/>
  <c r="H24" i="20"/>
  <c r="H23" i="20"/>
  <c r="H22" i="20"/>
  <c r="H21" i="20"/>
  <c r="H19" i="20"/>
  <c r="H18" i="20"/>
  <c r="H17" i="20"/>
  <c r="H16" i="20"/>
  <c r="H15" i="20"/>
  <c r="H13" i="20"/>
  <c r="I78" i="20" l="1"/>
  <c r="R213" i="10"/>
  <c r="Q213" i="10"/>
  <c r="Q330" i="10"/>
  <c r="R330" i="10"/>
  <c r="I88" i="20"/>
  <c r="Q122" i="10"/>
  <c r="R122" i="10"/>
  <c r="I73" i="20"/>
  <c r="I79" i="20"/>
  <c r="I86" i="20"/>
  <c r="I48" i="20"/>
  <c r="I55" i="20"/>
  <c r="I62" i="20"/>
  <c r="I69" i="20"/>
  <c r="I76" i="20"/>
  <c r="I83" i="20"/>
  <c r="I89" i="20"/>
  <c r="I51" i="20"/>
  <c r="I58" i="20"/>
  <c r="I35" i="20"/>
  <c r="I41" i="20"/>
  <c r="I30" i="20"/>
  <c r="I40" i="20"/>
  <c r="I47" i="20"/>
  <c r="I54" i="20"/>
  <c r="I61" i="20"/>
  <c r="I75" i="20"/>
  <c r="I31" i="20"/>
  <c r="I38" i="20"/>
  <c r="I45" i="20"/>
  <c r="I52" i="20"/>
  <c r="I59" i="20"/>
  <c r="I27" i="20"/>
  <c r="I34" i="20"/>
  <c r="I21" i="20"/>
  <c r="H74" i="20"/>
  <c r="H81" i="20"/>
  <c r="H87" i="20"/>
  <c r="H75" i="20"/>
  <c r="H88" i="20"/>
  <c r="H76" i="20"/>
  <c r="H83" i="20"/>
  <c r="H89" i="20"/>
  <c r="H77" i="20"/>
  <c r="H84" i="20"/>
  <c r="H78" i="20"/>
  <c r="H73" i="20"/>
  <c r="H79" i="20"/>
  <c r="H86" i="20"/>
  <c r="I23" i="20"/>
  <c r="I22" i="20"/>
  <c r="I29" i="20"/>
  <c r="I36" i="20"/>
  <c r="I42" i="20"/>
  <c r="I49" i="20"/>
  <c r="I63" i="20"/>
  <c r="I70" i="20"/>
  <c r="I77" i="20"/>
  <c r="I84" i="20"/>
  <c r="I25" i="20"/>
  <c r="I15" i="20"/>
  <c r="I32" i="20"/>
  <c r="I46" i="20"/>
  <c r="I60" i="20"/>
  <c r="I74" i="20"/>
  <c r="I81" i="20"/>
  <c r="I87" i="20"/>
  <c r="I18" i="20"/>
  <c r="I17" i="20"/>
  <c r="I19" i="20"/>
  <c r="I24" i="20"/>
  <c r="I16" i="20"/>
  <c r="I13" i="20"/>
  <c r="G57" i="20"/>
  <c r="J57" i="20" s="1"/>
  <c r="F57" i="20"/>
  <c r="E57" i="20"/>
  <c r="D57" i="20"/>
  <c r="H20" i="20"/>
  <c r="G387" i="14"/>
  <c r="I387" i="14"/>
  <c r="D387" i="14"/>
  <c r="J388" i="14"/>
  <c r="K388" i="14"/>
  <c r="I57" i="20" l="1"/>
  <c r="K387" i="14"/>
  <c r="J387" i="14"/>
  <c r="K168" i="14"/>
  <c r="C87" i="13" l="1"/>
  <c r="C82" i="13"/>
  <c r="P82" i="13" s="1"/>
  <c r="C79" i="13"/>
  <c r="C76" i="13"/>
  <c r="C73" i="13"/>
  <c r="P73" i="13" s="1"/>
  <c r="P70" i="13"/>
  <c r="C65" i="13"/>
  <c r="P65" i="13" s="1"/>
  <c r="C60" i="13"/>
  <c r="P60" i="13" s="1"/>
  <c r="C57" i="13"/>
  <c r="P57" i="13" s="1"/>
  <c r="C49" i="13"/>
  <c r="P49" i="13" s="1"/>
  <c r="C40" i="13"/>
  <c r="P40" i="13" s="1"/>
  <c r="C35" i="13"/>
  <c r="C32" i="13"/>
  <c r="P32" i="13" s="1"/>
  <c r="C29" i="13"/>
  <c r="P29" i="13" s="1"/>
  <c r="C26" i="13"/>
  <c r="P26" i="13" s="1"/>
  <c r="C18" i="13"/>
  <c r="P18" i="13" s="1"/>
  <c r="P79" i="13" l="1"/>
  <c r="C75" i="13"/>
  <c r="P75" i="13" s="1"/>
  <c r="P76" i="13"/>
  <c r="C34" i="13"/>
  <c r="P34" i="13" s="1"/>
  <c r="P35" i="13"/>
  <c r="C81" i="13"/>
  <c r="P81" i="13" s="1"/>
  <c r="C45" i="13"/>
  <c r="P45" i="13" s="1"/>
  <c r="C69" i="13"/>
  <c r="C56" i="13"/>
  <c r="P56" i="13" s="1"/>
  <c r="C17" i="13"/>
  <c r="C16" i="13" l="1"/>
  <c r="C7" i="13" s="1"/>
  <c r="P69" i="13"/>
  <c r="C78" i="13"/>
  <c r="C10" i="13" s="1"/>
  <c r="C4" i="13" l="1"/>
  <c r="C3" i="13" s="1"/>
  <c r="P78" i="13"/>
  <c r="M162" i="10" l="1"/>
  <c r="N162" i="10"/>
  <c r="O162" i="10"/>
  <c r="P162" i="10"/>
  <c r="L162" i="10"/>
  <c r="M59" i="10"/>
  <c r="N59" i="10"/>
  <c r="O59" i="10"/>
  <c r="P59" i="10"/>
  <c r="L59" i="10"/>
  <c r="Q59" i="10" l="1"/>
  <c r="R59" i="10"/>
  <c r="Q162" i="10"/>
  <c r="R162" i="10"/>
  <c r="M57" i="10" l="1"/>
  <c r="N57" i="10"/>
  <c r="O57" i="10"/>
  <c r="P57" i="10"/>
  <c r="S57" i="10" s="1"/>
  <c r="L57" i="10"/>
  <c r="M67" i="10"/>
  <c r="N67" i="10"/>
  <c r="O67" i="10"/>
  <c r="P67" i="10"/>
  <c r="L67" i="10"/>
  <c r="M268" i="10"/>
  <c r="M267" i="10" s="1"/>
  <c r="N268" i="10"/>
  <c r="O268" i="10"/>
  <c r="P268" i="10"/>
  <c r="L268" i="10"/>
  <c r="L267" i="10" s="1"/>
  <c r="M63" i="10"/>
  <c r="N63" i="10"/>
  <c r="O63" i="10"/>
  <c r="P63" i="10"/>
  <c r="L63" i="10"/>
  <c r="M163" i="10"/>
  <c r="M161" i="10" s="1"/>
  <c r="N163" i="10"/>
  <c r="N161" i="10" s="1"/>
  <c r="O163" i="10"/>
  <c r="O161" i="10" s="1"/>
  <c r="P163" i="10"/>
  <c r="L163" i="10"/>
  <c r="L161" i="10" s="1"/>
  <c r="M310" i="10"/>
  <c r="N310" i="10"/>
  <c r="O310" i="10"/>
  <c r="P310" i="10"/>
  <c r="S310" i="10" s="1"/>
  <c r="M311" i="10"/>
  <c r="N311" i="10"/>
  <c r="O311" i="10"/>
  <c r="P311" i="10"/>
  <c r="S311" i="10" s="1"/>
  <c r="L311" i="10"/>
  <c r="L310" i="10"/>
  <c r="M336" i="10"/>
  <c r="M335" i="10" s="1"/>
  <c r="M334" i="10" s="1"/>
  <c r="N336" i="10"/>
  <c r="N335" i="10" s="1"/>
  <c r="N334" i="10" s="1"/>
  <c r="O336" i="10"/>
  <c r="O335" i="10" s="1"/>
  <c r="O334" i="10" s="1"/>
  <c r="P336" i="10"/>
  <c r="L336" i="10"/>
  <c r="L335" i="10" s="1"/>
  <c r="L334" i="10" s="1"/>
  <c r="M373" i="10"/>
  <c r="N373" i="10"/>
  <c r="N372" i="10" s="1"/>
  <c r="O373" i="10"/>
  <c r="P373" i="10"/>
  <c r="L373" i="10"/>
  <c r="M365" i="10"/>
  <c r="N365" i="10"/>
  <c r="O365" i="10"/>
  <c r="P365" i="10"/>
  <c r="M366" i="10"/>
  <c r="N366" i="10"/>
  <c r="O366" i="10"/>
  <c r="P366" i="10"/>
  <c r="M368" i="10"/>
  <c r="N368" i="10"/>
  <c r="O368" i="10"/>
  <c r="P368" i="10"/>
  <c r="M369" i="10"/>
  <c r="N369" i="10"/>
  <c r="O369" i="10"/>
  <c r="P369" i="10"/>
  <c r="M370" i="10"/>
  <c r="N370" i="10"/>
  <c r="O370" i="10"/>
  <c r="P370" i="10"/>
  <c r="L370" i="10"/>
  <c r="L368" i="10"/>
  <c r="L366" i="10"/>
  <c r="L365" i="10"/>
  <c r="M360" i="10"/>
  <c r="N360" i="10"/>
  <c r="O360" i="10"/>
  <c r="P360" i="10"/>
  <c r="M361" i="10"/>
  <c r="N361" i="10"/>
  <c r="O361" i="10"/>
  <c r="P361" i="10"/>
  <c r="M362" i="10"/>
  <c r="N362" i="10"/>
  <c r="O362" i="10"/>
  <c r="P362" i="10"/>
  <c r="L362" i="10"/>
  <c r="L361" i="10"/>
  <c r="L360" i="10"/>
  <c r="M356" i="10"/>
  <c r="N356" i="10"/>
  <c r="O356" i="10"/>
  <c r="P356" i="10"/>
  <c r="L356" i="10"/>
  <c r="M352" i="10"/>
  <c r="N352" i="10"/>
  <c r="O352" i="10"/>
  <c r="P352" i="10"/>
  <c r="L352" i="10"/>
  <c r="M304" i="10"/>
  <c r="N304" i="10"/>
  <c r="O304" i="10"/>
  <c r="P304" i="10"/>
  <c r="L304" i="10"/>
  <c r="M49" i="10"/>
  <c r="N49" i="10"/>
  <c r="O49" i="10"/>
  <c r="P49" i="10"/>
  <c r="L49" i="10"/>
  <c r="M265" i="10"/>
  <c r="M264" i="10" s="1"/>
  <c r="N265" i="10"/>
  <c r="N264" i="10" s="1"/>
  <c r="O265" i="10"/>
  <c r="O264" i="10" s="1"/>
  <c r="P265" i="10"/>
  <c r="L265" i="10"/>
  <c r="L264" i="10" s="1"/>
  <c r="M263" i="10"/>
  <c r="M262" i="10" s="1"/>
  <c r="N263" i="10"/>
  <c r="O263" i="10"/>
  <c r="O262" i="10" s="1"/>
  <c r="P263" i="10"/>
  <c r="L263" i="10"/>
  <c r="L262" i="10" s="1"/>
  <c r="M261" i="10"/>
  <c r="M259" i="10" s="1"/>
  <c r="N261" i="10"/>
  <c r="N259" i="10" s="1"/>
  <c r="O261" i="10"/>
  <c r="O259" i="10" s="1"/>
  <c r="P261" i="10"/>
  <c r="L261" i="10"/>
  <c r="L259" i="10" s="1"/>
  <c r="P257" i="10"/>
  <c r="O257" i="10"/>
  <c r="N257" i="10"/>
  <c r="M257" i="10"/>
  <c r="P256" i="10"/>
  <c r="O256" i="10"/>
  <c r="N256" i="10"/>
  <c r="M256" i="10"/>
  <c r="L257" i="10"/>
  <c r="L256" i="10"/>
  <c r="P254" i="10"/>
  <c r="O254" i="10"/>
  <c r="N254" i="10"/>
  <c r="M254" i="10"/>
  <c r="P253" i="10"/>
  <c r="O253" i="10"/>
  <c r="N253" i="10"/>
  <c r="M253" i="10"/>
  <c r="L254" i="10"/>
  <c r="L253" i="10"/>
  <c r="M251" i="10"/>
  <c r="N251" i="10"/>
  <c r="O251" i="10"/>
  <c r="P251" i="10"/>
  <c r="L251" i="10"/>
  <c r="M226" i="10"/>
  <c r="N226" i="10"/>
  <c r="O226" i="10"/>
  <c r="P226" i="10"/>
  <c r="L226" i="10"/>
  <c r="M153" i="10"/>
  <c r="N153" i="10"/>
  <c r="O153" i="10"/>
  <c r="P153" i="10"/>
  <c r="L153" i="10"/>
  <c r="M302" i="10"/>
  <c r="N302" i="10"/>
  <c r="O302" i="10"/>
  <c r="P302" i="10"/>
  <c r="M303" i="10"/>
  <c r="N303" i="10"/>
  <c r="O303" i="10"/>
  <c r="P303" i="10"/>
  <c r="L303" i="10"/>
  <c r="L302" i="10"/>
  <c r="M275" i="10"/>
  <c r="N275" i="10"/>
  <c r="O275" i="10"/>
  <c r="P275" i="10"/>
  <c r="M323" i="10"/>
  <c r="M322" i="10" s="1"/>
  <c r="N323" i="10"/>
  <c r="N322" i="10" s="1"/>
  <c r="O323" i="10"/>
  <c r="O322" i="10" s="1"/>
  <c r="P323" i="10"/>
  <c r="M316" i="10"/>
  <c r="M314" i="10" s="1"/>
  <c r="N316" i="10"/>
  <c r="N314" i="10" s="1"/>
  <c r="O316" i="10"/>
  <c r="O314" i="10" s="1"/>
  <c r="P316" i="10"/>
  <c r="M276" i="10"/>
  <c r="N276" i="10"/>
  <c r="O276" i="10"/>
  <c r="P276" i="10"/>
  <c r="M277" i="10"/>
  <c r="N277" i="10"/>
  <c r="O277" i="10"/>
  <c r="P277" i="10"/>
  <c r="M278" i="10"/>
  <c r="N278" i="10"/>
  <c r="O278" i="10"/>
  <c r="P278" i="10"/>
  <c r="L278" i="10"/>
  <c r="L277" i="10"/>
  <c r="L276" i="10"/>
  <c r="L316" i="10"/>
  <c r="L314" i="10" s="1"/>
  <c r="L323" i="10"/>
  <c r="L322" i="10" s="1"/>
  <c r="L321" i="10" s="1"/>
  <c r="L319" i="10" s="1"/>
  <c r="C33" i="21" s="1"/>
  <c r="L275" i="10"/>
  <c r="M244" i="10"/>
  <c r="M243" i="10" s="1"/>
  <c r="N244" i="10"/>
  <c r="N243" i="10" s="1"/>
  <c r="O244" i="10"/>
  <c r="O243" i="10" s="1"/>
  <c r="P244" i="10"/>
  <c r="L244" i="10"/>
  <c r="L243" i="10" s="1"/>
  <c r="L242" i="10" s="1"/>
  <c r="L240" i="10" s="1"/>
  <c r="M238" i="10"/>
  <c r="N238" i="10"/>
  <c r="O238" i="10"/>
  <c r="P238" i="10"/>
  <c r="L238" i="10"/>
  <c r="M165" i="10"/>
  <c r="M164" i="10" s="1"/>
  <c r="N165" i="10"/>
  <c r="N164" i="10" s="1"/>
  <c r="O165" i="10"/>
  <c r="O164" i="10" s="1"/>
  <c r="P165" i="10"/>
  <c r="L165" i="10"/>
  <c r="M237" i="10"/>
  <c r="N237" i="10"/>
  <c r="O237" i="10"/>
  <c r="P237" i="10"/>
  <c r="L237" i="10"/>
  <c r="M225" i="10"/>
  <c r="N225" i="10"/>
  <c r="O225" i="10"/>
  <c r="P225" i="10"/>
  <c r="L225" i="10"/>
  <c r="M224" i="10"/>
  <c r="N224" i="10"/>
  <c r="O224" i="10"/>
  <c r="P224" i="10"/>
  <c r="L224" i="10"/>
  <c r="M158" i="10"/>
  <c r="N158" i="10"/>
  <c r="O158" i="10"/>
  <c r="P158" i="10"/>
  <c r="L158" i="10"/>
  <c r="M111" i="10"/>
  <c r="N111" i="10"/>
  <c r="O111" i="10"/>
  <c r="P111" i="10"/>
  <c r="L111" i="10"/>
  <c r="M171" i="10"/>
  <c r="M170" i="10" s="1"/>
  <c r="M169" i="10" s="1"/>
  <c r="M167" i="10" s="1"/>
  <c r="D22" i="21" s="1"/>
  <c r="N171" i="10"/>
  <c r="N170" i="10" s="1"/>
  <c r="N169" i="10" s="1"/>
  <c r="N167" i="10" s="1"/>
  <c r="E22" i="21" s="1"/>
  <c r="O171" i="10"/>
  <c r="O170" i="10" s="1"/>
  <c r="O169" i="10" s="1"/>
  <c r="O167" i="10" s="1"/>
  <c r="P171" i="10"/>
  <c r="L171" i="10"/>
  <c r="L170" i="10" s="1"/>
  <c r="L169" i="10" s="1"/>
  <c r="L167" i="10" s="1"/>
  <c r="C22" i="21" s="1"/>
  <c r="M212" i="10"/>
  <c r="M211" i="10" s="1"/>
  <c r="N212" i="10"/>
  <c r="N211" i="10" s="1"/>
  <c r="O212" i="10"/>
  <c r="O211" i="10" s="1"/>
  <c r="P212" i="10"/>
  <c r="L212" i="10"/>
  <c r="L211" i="10" s="1"/>
  <c r="M329" i="10"/>
  <c r="M328" i="10" s="1"/>
  <c r="N329" i="10"/>
  <c r="N328" i="10" s="1"/>
  <c r="O329" i="10"/>
  <c r="O328" i="10" s="1"/>
  <c r="P329" i="10"/>
  <c r="L329" i="10"/>
  <c r="L328" i="10" s="1"/>
  <c r="L327" i="10" s="1"/>
  <c r="L325" i="10" s="1"/>
  <c r="C34" i="21" s="1"/>
  <c r="M206" i="10"/>
  <c r="N206" i="10"/>
  <c r="O206" i="10"/>
  <c r="P206" i="10"/>
  <c r="L206" i="10"/>
  <c r="M200" i="10"/>
  <c r="N200" i="10"/>
  <c r="O200" i="10"/>
  <c r="P200" i="10"/>
  <c r="L200" i="10"/>
  <c r="M150" i="10"/>
  <c r="N150" i="10"/>
  <c r="O150" i="10"/>
  <c r="P150" i="10"/>
  <c r="L150" i="10"/>
  <c r="M149" i="10"/>
  <c r="N149" i="10"/>
  <c r="O149" i="10"/>
  <c r="P149" i="10"/>
  <c r="L149" i="10"/>
  <c r="M148" i="10"/>
  <c r="N148" i="10"/>
  <c r="O148" i="10"/>
  <c r="P148" i="10"/>
  <c r="L148" i="10"/>
  <c r="M85" i="10"/>
  <c r="M80" i="10" s="1"/>
  <c r="N85" i="10"/>
  <c r="N80" i="10" s="1"/>
  <c r="O85" i="10"/>
  <c r="O80" i="10" s="1"/>
  <c r="P85" i="10"/>
  <c r="L85" i="10"/>
  <c r="L80" i="10" s="1"/>
  <c r="M121" i="10"/>
  <c r="N121" i="10"/>
  <c r="O121" i="10"/>
  <c r="P121" i="10"/>
  <c r="L121" i="10"/>
  <c r="M120" i="10"/>
  <c r="N120" i="10"/>
  <c r="O120" i="10"/>
  <c r="P120" i="10"/>
  <c r="L120" i="10"/>
  <c r="M118" i="10"/>
  <c r="N118" i="10"/>
  <c r="O118" i="10"/>
  <c r="P118" i="10"/>
  <c r="L118" i="10"/>
  <c r="P335" i="10" l="1"/>
  <c r="P334" i="10" s="1"/>
  <c r="L271" i="10"/>
  <c r="L270" i="10" s="1"/>
  <c r="P314" i="10"/>
  <c r="P264" i="10"/>
  <c r="P80" i="10"/>
  <c r="P259" i="10"/>
  <c r="P211" i="10"/>
  <c r="N363" i="10"/>
  <c r="L363" i="10"/>
  <c r="M363" i="10"/>
  <c r="P363" i="10"/>
  <c r="O363" i="10"/>
  <c r="P372" i="10"/>
  <c r="L372" i="10"/>
  <c r="O372" i="10"/>
  <c r="M372" i="10"/>
  <c r="L313" i="10"/>
  <c r="P271" i="10"/>
  <c r="P358" i="10"/>
  <c r="P223" i="10"/>
  <c r="N223" i="10"/>
  <c r="N222" i="10" s="1"/>
  <c r="L223" i="10"/>
  <c r="L222" i="10" s="1"/>
  <c r="O223" i="10"/>
  <c r="O222" i="10" s="1"/>
  <c r="M223" i="10"/>
  <c r="M222" i="10" s="1"/>
  <c r="R237" i="10"/>
  <c r="Q237" i="10"/>
  <c r="Q212" i="10"/>
  <c r="R212" i="10"/>
  <c r="R225" i="10"/>
  <c r="Q225" i="10"/>
  <c r="R302" i="10"/>
  <c r="Q302" i="10"/>
  <c r="Q224" i="10"/>
  <c r="R224" i="10"/>
  <c r="Q253" i="10"/>
  <c r="R253" i="10"/>
  <c r="P328" i="10"/>
  <c r="R329" i="10"/>
  <c r="Q329" i="10"/>
  <c r="Q158" i="10"/>
  <c r="R158" i="10"/>
  <c r="P243" i="10"/>
  <c r="Q244" i="10"/>
  <c r="R244" i="10"/>
  <c r="Q303" i="10"/>
  <c r="R303" i="10"/>
  <c r="Q348" i="10"/>
  <c r="R348" i="10"/>
  <c r="Q206" i="10"/>
  <c r="R206" i="10"/>
  <c r="Q111" i="10"/>
  <c r="R111" i="10"/>
  <c r="Q304" i="10"/>
  <c r="R304" i="10"/>
  <c r="R200" i="10"/>
  <c r="Q200" i="10"/>
  <c r="P164" i="10"/>
  <c r="Q165" i="10"/>
  <c r="R165" i="10"/>
  <c r="Q226" i="10"/>
  <c r="R226" i="10"/>
  <c r="Q254" i="10"/>
  <c r="R254" i="10"/>
  <c r="P170" i="10"/>
  <c r="R171" i="10"/>
  <c r="Q171" i="10"/>
  <c r="Q153" i="10"/>
  <c r="R153" i="10"/>
  <c r="Q261" i="10"/>
  <c r="R261" i="10"/>
  <c r="Q265" i="10"/>
  <c r="R265" i="10"/>
  <c r="Q238" i="10"/>
  <c r="R238" i="10"/>
  <c r="Q278" i="10"/>
  <c r="R278" i="10"/>
  <c r="Q336" i="10"/>
  <c r="R336" i="10"/>
  <c r="Q277" i="10"/>
  <c r="R277" i="10"/>
  <c r="R276" i="10"/>
  <c r="Q276" i="10"/>
  <c r="Q316" i="10"/>
  <c r="R316" i="10"/>
  <c r="P322" i="10"/>
  <c r="R323" i="10"/>
  <c r="Q323" i="10"/>
  <c r="R275" i="10"/>
  <c r="Q275" i="10"/>
  <c r="Q311" i="10"/>
  <c r="R311" i="10"/>
  <c r="R57" i="10"/>
  <c r="Q57" i="10"/>
  <c r="Q310" i="10"/>
  <c r="R310" i="10"/>
  <c r="R67" i="10"/>
  <c r="Q67" i="10"/>
  <c r="P267" i="10"/>
  <c r="R268" i="10"/>
  <c r="Q268" i="10"/>
  <c r="R63" i="10"/>
  <c r="Q63" i="10"/>
  <c r="P161" i="10"/>
  <c r="Q163" i="10"/>
  <c r="R163" i="10"/>
  <c r="R49" i="10"/>
  <c r="Q49" i="10"/>
  <c r="Q121" i="10"/>
  <c r="R121" i="10"/>
  <c r="Q150" i="10"/>
  <c r="R150" i="10"/>
  <c r="Q149" i="10"/>
  <c r="R149" i="10"/>
  <c r="Q148" i="10"/>
  <c r="R148" i="10"/>
  <c r="Q85" i="10"/>
  <c r="R85" i="10"/>
  <c r="Q120" i="10"/>
  <c r="R120" i="10"/>
  <c r="Q118" i="10"/>
  <c r="R118" i="10"/>
  <c r="P262" i="10"/>
  <c r="Q263" i="10"/>
  <c r="R263" i="10"/>
  <c r="R257" i="10"/>
  <c r="Q257" i="10"/>
  <c r="R256" i="10"/>
  <c r="Q256" i="10"/>
  <c r="R251" i="10"/>
  <c r="Q251" i="10"/>
  <c r="R376" i="10"/>
  <c r="Q376" i="10"/>
  <c r="R373" i="10"/>
  <c r="Q373" i="10"/>
  <c r="R370" i="10"/>
  <c r="Q370" i="10"/>
  <c r="R368" i="10"/>
  <c r="Q368" i="10"/>
  <c r="Q369" i="10"/>
  <c r="R369" i="10"/>
  <c r="R366" i="10"/>
  <c r="Q366" i="10"/>
  <c r="R365" i="10"/>
  <c r="Q365" i="10"/>
  <c r="Q364" i="10"/>
  <c r="R364" i="10"/>
  <c r="Q362" i="10"/>
  <c r="R362" i="10"/>
  <c r="Q361" i="10"/>
  <c r="R361" i="10"/>
  <c r="Q360" i="10"/>
  <c r="R360" i="10"/>
  <c r="R356" i="10"/>
  <c r="Q356" i="10"/>
  <c r="R352" i="10"/>
  <c r="Q352" i="10"/>
  <c r="O354" i="10"/>
  <c r="P252" i="10"/>
  <c r="N354" i="10"/>
  <c r="N252" i="10"/>
  <c r="M354" i="10"/>
  <c r="L354" i="10"/>
  <c r="P354" i="10"/>
  <c r="F22" i="21"/>
  <c r="P147" i="10"/>
  <c r="L147" i="10"/>
  <c r="L146" i="10" s="1"/>
  <c r="M147" i="10"/>
  <c r="L210" i="10"/>
  <c r="L208" i="10" s="1"/>
  <c r="C26" i="21" s="1"/>
  <c r="O218" i="10"/>
  <c r="M301" i="10"/>
  <c r="M298" i="10" s="1"/>
  <c r="O147" i="10"/>
  <c r="N147" i="10"/>
  <c r="N210" i="10"/>
  <c r="O160" i="10"/>
  <c r="N160" i="10"/>
  <c r="L79" i="10"/>
  <c r="L77" i="10" s="1"/>
  <c r="C16" i="21" s="1"/>
  <c r="M160" i="10"/>
  <c r="O271" i="10"/>
  <c r="O270" i="10" s="1"/>
  <c r="P235" i="10"/>
  <c r="N218" i="10"/>
  <c r="N313" i="10"/>
  <c r="N321" i="10"/>
  <c r="N271" i="10"/>
  <c r="N270" i="10" s="1"/>
  <c r="P301" i="10"/>
  <c r="O235" i="10"/>
  <c r="O230" i="10" s="1"/>
  <c r="M242" i="10"/>
  <c r="M240" i="10" s="1"/>
  <c r="O321" i="10"/>
  <c r="M218" i="10"/>
  <c r="O242" i="10"/>
  <c r="O240" i="10" s="1"/>
  <c r="M313" i="10"/>
  <c r="M321" i="10"/>
  <c r="M271" i="10"/>
  <c r="M270" i="10" s="1"/>
  <c r="O301" i="10"/>
  <c r="O298" i="10" s="1"/>
  <c r="N235" i="10"/>
  <c r="N230" i="10" s="1"/>
  <c r="O313" i="10"/>
  <c r="N242" i="10"/>
  <c r="N240" i="10" s="1"/>
  <c r="L301" i="10"/>
  <c r="L298" i="10" s="1"/>
  <c r="N301" i="10"/>
  <c r="N298" i="10" s="1"/>
  <c r="L235" i="10"/>
  <c r="L230" i="10" s="1"/>
  <c r="M235" i="10"/>
  <c r="M230" i="10" s="1"/>
  <c r="O327" i="10"/>
  <c r="N327" i="10"/>
  <c r="M327" i="10"/>
  <c r="M358" i="10"/>
  <c r="N358" i="10"/>
  <c r="O358" i="10"/>
  <c r="L119" i="10"/>
  <c r="M252" i="10"/>
  <c r="O119" i="10"/>
  <c r="M119" i="10"/>
  <c r="P119" i="10"/>
  <c r="N119" i="10"/>
  <c r="N267" i="10"/>
  <c r="L358" i="10"/>
  <c r="L346" i="10"/>
  <c r="O267" i="10"/>
  <c r="N346" i="10"/>
  <c r="O346" i="10"/>
  <c r="M346" i="10"/>
  <c r="P346" i="10"/>
  <c r="N262" i="10"/>
  <c r="O252" i="10"/>
  <c r="L252" i="10"/>
  <c r="M107" i="10"/>
  <c r="N107" i="10"/>
  <c r="O107" i="10"/>
  <c r="P107" i="10"/>
  <c r="M110" i="10"/>
  <c r="N110" i="10"/>
  <c r="O110" i="10"/>
  <c r="P110" i="10"/>
  <c r="L110" i="10"/>
  <c r="L107" i="10"/>
  <c r="M106" i="10"/>
  <c r="N106" i="10"/>
  <c r="O106" i="10"/>
  <c r="P106" i="10"/>
  <c r="L106" i="10"/>
  <c r="M105" i="10"/>
  <c r="N105" i="10"/>
  <c r="O105" i="10"/>
  <c r="P105" i="10"/>
  <c r="L105" i="10"/>
  <c r="O91" i="10"/>
  <c r="P91" i="10"/>
  <c r="L91" i="10"/>
  <c r="M55" i="10"/>
  <c r="N55" i="10"/>
  <c r="O55" i="10"/>
  <c r="P55" i="10"/>
  <c r="L55" i="10"/>
  <c r="M48" i="10"/>
  <c r="N48" i="10"/>
  <c r="O48" i="10"/>
  <c r="P48" i="10"/>
  <c r="M50" i="10"/>
  <c r="N50" i="10"/>
  <c r="O50" i="10"/>
  <c r="P50" i="10"/>
  <c r="M51" i="10"/>
  <c r="N51" i="10"/>
  <c r="O51" i="10"/>
  <c r="P51" i="10"/>
  <c r="M53" i="10"/>
  <c r="N53" i="10"/>
  <c r="O53" i="10"/>
  <c r="P53" i="10"/>
  <c r="L53" i="10"/>
  <c r="L51" i="10"/>
  <c r="L50" i="10"/>
  <c r="L48" i="10"/>
  <c r="M35" i="10"/>
  <c r="N35" i="10"/>
  <c r="O35" i="10"/>
  <c r="P35" i="10"/>
  <c r="M36" i="10"/>
  <c r="N36" i="10"/>
  <c r="O36" i="10"/>
  <c r="P36" i="10"/>
  <c r="M37" i="10"/>
  <c r="N37" i="10"/>
  <c r="O37" i="10"/>
  <c r="P37" i="10"/>
  <c r="M38" i="10"/>
  <c r="N38" i="10"/>
  <c r="O38" i="10"/>
  <c r="P38" i="10"/>
  <c r="M40" i="10"/>
  <c r="N40" i="10"/>
  <c r="O40" i="10"/>
  <c r="P40" i="10"/>
  <c r="M41" i="10"/>
  <c r="N41" i="10"/>
  <c r="O41" i="10"/>
  <c r="P41" i="10"/>
  <c r="M43" i="10"/>
  <c r="N43" i="10"/>
  <c r="O43" i="10"/>
  <c r="P43" i="10"/>
  <c r="M44" i="10"/>
  <c r="N44" i="10"/>
  <c r="O44" i="10"/>
  <c r="P44" i="10"/>
  <c r="L44" i="10"/>
  <c r="L43" i="10"/>
  <c r="L41" i="10"/>
  <c r="L40" i="10"/>
  <c r="L38" i="10"/>
  <c r="L37" i="10"/>
  <c r="L36" i="10"/>
  <c r="L35" i="10"/>
  <c r="M30" i="10"/>
  <c r="N30" i="10"/>
  <c r="O30" i="10"/>
  <c r="P30" i="10"/>
  <c r="M31" i="10"/>
  <c r="N31" i="10"/>
  <c r="O31" i="10"/>
  <c r="P31" i="10"/>
  <c r="M32" i="10"/>
  <c r="N32" i="10"/>
  <c r="O32" i="10"/>
  <c r="P32" i="10"/>
  <c r="M33" i="10"/>
  <c r="N33" i="10"/>
  <c r="O33" i="10"/>
  <c r="P33" i="10"/>
  <c r="L33" i="10"/>
  <c r="L32" i="10"/>
  <c r="L31" i="10"/>
  <c r="L30" i="10"/>
  <c r="M24" i="10"/>
  <c r="N24" i="10"/>
  <c r="O24" i="10"/>
  <c r="P24" i="10"/>
  <c r="M25" i="10"/>
  <c r="N25" i="10"/>
  <c r="O25" i="10"/>
  <c r="P25" i="10"/>
  <c r="M26" i="10"/>
  <c r="N26" i="10"/>
  <c r="O26" i="10"/>
  <c r="P26" i="10"/>
  <c r="M27" i="10"/>
  <c r="N27" i="10"/>
  <c r="O27" i="10"/>
  <c r="P27" i="10"/>
  <c r="L27" i="10"/>
  <c r="L26" i="10"/>
  <c r="L25" i="10"/>
  <c r="L24" i="10"/>
  <c r="M20" i="10"/>
  <c r="N20" i="10"/>
  <c r="O20" i="10"/>
  <c r="P20" i="10"/>
  <c r="M21" i="10"/>
  <c r="N21" i="10"/>
  <c r="O21" i="10"/>
  <c r="P21" i="10"/>
  <c r="L21" i="10"/>
  <c r="L20" i="10"/>
  <c r="M18" i="10"/>
  <c r="N18" i="10"/>
  <c r="O18" i="10"/>
  <c r="P18" i="10"/>
  <c r="L18" i="10"/>
  <c r="M16" i="10"/>
  <c r="O16" i="10"/>
  <c r="P16" i="10"/>
  <c r="L16" i="10"/>
  <c r="M58" i="10"/>
  <c r="N58" i="10"/>
  <c r="O58" i="10"/>
  <c r="L58" i="10"/>
  <c r="M47" i="10"/>
  <c r="N47" i="10"/>
  <c r="O47" i="10"/>
  <c r="P47" i="10"/>
  <c r="L47" i="10"/>
  <c r="L45" i="10" l="1"/>
  <c r="P327" i="10"/>
  <c r="P325" i="10" s="1"/>
  <c r="P313" i="10"/>
  <c r="P298" i="10"/>
  <c r="P332" i="10"/>
  <c r="P321" i="10"/>
  <c r="P222" i="10"/>
  <c r="P230" i="10"/>
  <c r="R161" i="10"/>
  <c r="M332" i="10"/>
  <c r="D35" i="21" s="1"/>
  <c r="L332" i="10"/>
  <c r="C35" i="21" s="1"/>
  <c r="N332" i="10"/>
  <c r="E35" i="21" s="1"/>
  <c r="O332" i="10"/>
  <c r="F35" i="21" s="1"/>
  <c r="L353" i="10"/>
  <c r="M353" i="10"/>
  <c r="N353" i="10"/>
  <c r="P353" i="10"/>
  <c r="O353" i="10"/>
  <c r="L144" i="10"/>
  <c r="C20" i="21" s="1"/>
  <c r="O15" i="10"/>
  <c r="M15" i="10"/>
  <c r="R223" i="10"/>
  <c r="Q223" i="10"/>
  <c r="M216" i="10"/>
  <c r="D27" i="21" s="1"/>
  <c r="O216" i="10"/>
  <c r="F27" i="21" s="1"/>
  <c r="N216" i="10"/>
  <c r="E27" i="21" s="1"/>
  <c r="L99" i="10"/>
  <c r="P99" i="10"/>
  <c r="N99" i="10"/>
  <c r="M99" i="10"/>
  <c r="O99" i="10"/>
  <c r="Q161" i="10"/>
  <c r="R107" i="10"/>
  <c r="Q107" i="10"/>
  <c r="Q264" i="10"/>
  <c r="R264" i="10"/>
  <c r="R164" i="10"/>
  <c r="R243" i="10"/>
  <c r="Q243" i="10"/>
  <c r="P242" i="10"/>
  <c r="P240" i="10" s="1"/>
  <c r="R252" i="10"/>
  <c r="Q252" i="10"/>
  <c r="P169" i="10"/>
  <c r="Q170" i="10"/>
  <c r="R170" i="10"/>
  <c r="R211" i="10"/>
  <c r="Q211" i="10"/>
  <c r="Q108" i="10"/>
  <c r="R108" i="10"/>
  <c r="Q106" i="10"/>
  <c r="R106" i="10"/>
  <c r="Q301" i="10"/>
  <c r="R301" i="10"/>
  <c r="R105" i="10"/>
  <c r="Q105" i="10"/>
  <c r="Q110" i="10"/>
  <c r="R110" i="10"/>
  <c r="Q328" i="10"/>
  <c r="R328" i="10"/>
  <c r="P58" i="10"/>
  <c r="Q335" i="10"/>
  <c r="R335" i="10"/>
  <c r="R334" i="10"/>
  <c r="Q334" i="10"/>
  <c r="R314" i="10"/>
  <c r="Q314" i="10"/>
  <c r="Q322" i="10"/>
  <c r="R322" i="10"/>
  <c r="P270" i="10"/>
  <c r="R271" i="10"/>
  <c r="Q271" i="10"/>
  <c r="Q91" i="10"/>
  <c r="R91" i="10"/>
  <c r="R55" i="10"/>
  <c r="Q55" i="10"/>
  <c r="Q51" i="10"/>
  <c r="R51" i="10"/>
  <c r="Q50" i="10"/>
  <c r="R50" i="10"/>
  <c r="Q53" i="10"/>
  <c r="R53" i="10"/>
  <c r="Q267" i="10"/>
  <c r="R267" i="10"/>
  <c r="P160" i="10"/>
  <c r="Q47" i="10"/>
  <c r="R47" i="10"/>
  <c r="R48" i="10"/>
  <c r="Q48" i="10"/>
  <c r="R46" i="10"/>
  <c r="Q46" i="10"/>
  <c r="Q40" i="10"/>
  <c r="R40" i="10"/>
  <c r="R44" i="10"/>
  <c r="Q44" i="10"/>
  <c r="Q38" i="10"/>
  <c r="R38" i="10"/>
  <c r="R41" i="10"/>
  <c r="Q41" i="10"/>
  <c r="Q37" i="10"/>
  <c r="R37" i="10"/>
  <c r="Q36" i="10"/>
  <c r="R36" i="10"/>
  <c r="P146" i="10"/>
  <c r="Q147" i="10"/>
  <c r="R147" i="10"/>
  <c r="R43" i="10"/>
  <c r="Q43" i="10"/>
  <c r="Q119" i="10"/>
  <c r="R119" i="10"/>
  <c r="P79" i="10"/>
  <c r="Q80" i="10"/>
  <c r="R80" i="10"/>
  <c r="R35" i="10"/>
  <c r="Q35" i="10"/>
  <c r="Q33" i="10"/>
  <c r="R33" i="10"/>
  <c r="Q32" i="10"/>
  <c r="R32" i="10"/>
  <c r="Q31" i="10"/>
  <c r="R31" i="10"/>
  <c r="Q30" i="10"/>
  <c r="R30" i="10"/>
  <c r="R262" i="10"/>
  <c r="Q262" i="10"/>
  <c r="R29" i="10"/>
  <c r="Q29" i="10"/>
  <c r="Q259" i="10"/>
  <c r="R259" i="10"/>
  <c r="R27" i="10"/>
  <c r="Q27" i="10"/>
  <c r="Q26" i="10"/>
  <c r="R26" i="10"/>
  <c r="Q25" i="10"/>
  <c r="R25" i="10"/>
  <c r="Q24" i="10"/>
  <c r="R24" i="10"/>
  <c r="R21" i="10"/>
  <c r="Q21" i="10"/>
  <c r="Q20" i="10"/>
  <c r="R20" i="10"/>
  <c r="R18" i="10"/>
  <c r="Q18" i="10"/>
  <c r="P15" i="10"/>
  <c r="Q16" i="10"/>
  <c r="R16" i="10"/>
  <c r="R363" i="10"/>
  <c r="Q363" i="10"/>
  <c r="Q358" i="10"/>
  <c r="R358" i="10"/>
  <c r="R354" i="10"/>
  <c r="Q354" i="10"/>
  <c r="R346" i="10"/>
  <c r="Q346" i="10"/>
  <c r="R235" i="10"/>
  <c r="Q235" i="10"/>
  <c r="P218" i="10"/>
  <c r="R219" i="10"/>
  <c r="V21" i="10"/>
  <c r="V16" i="10"/>
  <c r="N15" i="10"/>
  <c r="V13" i="10"/>
  <c r="V15" i="10"/>
  <c r="V14" i="10"/>
  <c r="O45" i="10"/>
  <c r="P45" i="10"/>
  <c r="N45" i="10"/>
  <c r="M45" i="10"/>
  <c r="N146" i="10"/>
  <c r="N144" i="10" s="1"/>
  <c r="O146" i="10"/>
  <c r="O144" i="10" s="1"/>
  <c r="M146" i="10"/>
  <c r="M144" i="10" s="1"/>
  <c r="O79" i="10"/>
  <c r="M79" i="10"/>
  <c r="N79" i="10"/>
  <c r="O210" i="10"/>
  <c r="P210" i="10"/>
  <c r="M210" i="10"/>
  <c r="N208" i="10"/>
  <c r="E26" i="21" s="1"/>
  <c r="N319" i="10"/>
  <c r="E33" i="21" s="1"/>
  <c r="M319" i="10"/>
  <c r="O319" i="10"/>
  <c r="F33" i="21" s="1"/>
  <c r="N325" i="10"/>
  <c r="E34" i="21" s="1"/>
  <c r="M325" i="10"/>
  <c r="O325" i="10"/>
  <c r="L19" i="10"/>
  <c r="N23" i="10"/>
  <c r="L258" i="10"/>
  <c r="O258" i="10"/>
  <c r="P258" i="10"/>
  <c r="N258" i="10"/>
  <c r="M258" i="10"/>
  <c r="T2" i="10"/>
  <c r="T3" i="10" s="1"/>
  <c r="C57" i="20"/>
  <c r="H57" i="20" s="1"/>
  <c r="R327" i="10" l="1"/>
  <c r="Q327" i="10"/>
  <c r="Q321" i="10"/>
  <c r="P319" i="10"/>
  <c r="R321" i="10"/>
  <c r="R313" i="10"/>
  <c r="Q313" i="10"/>
  <c r="Q222" i="10"/>
  <c r="R222" i="10"/>
  <c r="P216" i="10"/>
  <c r="P144" i="10"/>
  <c r="R144" i="10" s="1"/>
  <c r="P77" i="10"/>
  <c r="G16" i="21" s="1"/>
  <c r="R58" i="10"/>
  <c r="G34" i="21"/>
  <c r="Q325" i="10"/>
  <c r="R325" i="10"/>
  <c r="P167" i="10"/>
  <c r="R169" i="10"/>
  <c r="Q169" i="10"/>
  <c r="Q99" i="10"/>
  <c r="R99" i="10"/>
  <c r="Q210" i="10"/>
  <c r="R210" i="10"/>
  <c r="Q242" i="10"/>
  <c r="R242" i="10"/>
  <c r="Q58" i="10"/>
  <c r="G35" i="21"/>
  <c r="Q332" i="10"/>
  <c r="R332" i="10"/>
  <c r="Q270" i="10"/>
  <c r="R270" i="10"/>
  <c r="R160" i="10"/>
  <c r="Q45" i="10"/>
  <c r="R45" i="10"/>
  <c r="Q146" i="10"/>
  <c r="R146" i="10"/>
  <c r="Q79" i="10"/>
  <c r="R79" i="10"/>
  <c r="Q258" i="10"/>
  <c r="R258" i="10"/>
  <c r="R15" i="10"/>
  <c r="R218" i="10"/>
  <c r="F34" i="21"/>
  <c r="D33" i="21"/>
  <c r="D34" i="21"/>
  <c r="F20" i="21"/>
  <c r="E20" i="21"/>
  <c r="M77" i="10"/>
  <c r="D16" i="21" s="1"/>
  <c r="N77" i="10"/>
  <c r="E16" i="21" s="1"/>
  <c r="O77" i="10"/>
  <c r="M208" i="10"/>
  <c r="O208" i="10"/>
  <c r="P208" i="10"/>
  <c r="R319" i="10" l="1"/>
  <c r="Q319" i="10"/>
  <c r="G33" i="21"/>
  <c r="Q77" i="10"/>
  <c r="G20" i="21"/>
  <c r="H20" i="21" s="1"/>
  <c r="Q144" i="10"/>
  <c r="H34" i="21"/>
  <c r="F16" i="21"/>
  <c r="R77" i="10"/>
  <c r="R208" i="10"/>
  <c r="Q208" i="10"/>
  <c r="G22" i="21"/>
  <c r="Q167" i="10"/>
  <c r="R167" i="10"/>
  <c r="I34" i="21"/>
  <c r="H35" i="21"/>
  <c r="I35" i="21"/>
  <c r="G27" i="21"/>
  <c r="R216" i="10"/>
  <c r="D26" i="21"/>
  <c r="G26" i="21"/>
  <c r="F26" i="21"/>
  <c r="D20" i="21"/>
  <c r="I53" i="9"/>
  <c r="I52" i="9" s="1"/>
  <c r="G53" i="9"/>
  <c r="G52" i="9" s="1"/>
  <c r="F73" i="13"/>
  <c r="H73" i="13"/>
  <c r="I500" i="14"/>
  <c r="I499" i="14" s="1"/>
  <c r="I495" i="14"/>
  <c r="I494" i="14" s="1"/>
  <c r="I488" i="14"/>
  <c r="I485" i="14"/>
  <c r="I482" i="14"/>
  <c r="I476" i="14"/>
  <c r="I470" i="14"/>
  <c r="I467" i="14"/>
  <c r="F53" i="20"/>
  <c r="I462" i="14"/>
  <c r="G53" i="20" s="1"/>
  <c r="J53" i="20" s="1"/>
  <c r="F67" i="20"/>
  <c r="I459" i="14"/>
  <c r="G67" i="20" s="1"/>
  <c r="J67" i="20" s="1"/>
  <c r="I456" i="14"/>
  <c r="I450" i="14"/>
  <c r="I448" i="14"/>
  <c r="I444" i="14"/>
  <c r="I441" i="14"/>
  <c r="I438" i="14"/>
  <c r="I428" i="14"/>
  <c r="I426" i="14"/>
  <c r="I423" i="14"/>
  <c r="I418" i="14"/>
  <c r="I410" i="14"/>
  <c r="I408" i="14"/>
  <c r="I393" i="14"/>
  <c r="G28" i="18" s="1"/>
  <c r="J28" i="18" s="1"/>
  <c r="I389" i="14"/>
  <c r="I380" i="14"/>
  <c r="I377" i="14"/>
  <c r="J152" i="9" s="1"/>
  <c r="I372" i="14"/>
  <c r="J151" i="9" s="1"/>
  <c r="I362" i="14"/>
  <c r="J148" i="9" s="1"/>
  <c r="I347" i="14"/>
  <c r="J147" i="9" s="1"/>
  <c r="I343" i="14"/>
  <c r="J144" i="9" s="1"/>
  <c r="I341" i="14"/>
  <c r="J142" i="9" s="1"/>
  <c r="I333" i="14"/>
  <c r="I331" i="14"/>
  <c r="J134" i="9" s="1"/>
  <c r="I272" i="14"/>
  <c r="I270" i="14"/>
  <c r="I268" i="14"/>
  <c r="I257" i="14"/>
  <c r="J129" i="9" s="1"/>
  <c r="I231" i="14"/>
  <c r="I226" i="14"/>
  <c r="I223" i="14"/>
  <c r="I222" i="14" s="1"/>
  <c r="I215" i="14"/>
  <c r="I214" i="14" s="1"/>
  <c r="I210" i="14"/>
  <c r="J111" i="9" s="1"/>
  <c r="I208" i="14"/>
  <c r="J110" i="9" s="1"/>
  <c r="I203" i="14"/>
  <c r="J109" i="9" s="1"/>
  <c r="I201" i="14"/>
  <c r="J108" i="9" s="1"/>
  <c r="I193" i="14"/>
  <c r="J107" i="9" s="1"/>
  <c r="I188" i="14"/>
  <c r="J106" i="9" s="1"/>
  <c r="I178" i="14"/>
  <c r="J105" i="9" s="1"/>
  <c r="I175" i="14"/>
  <c r="I160" i="14"/>
  <c r="J103" i="9" s="1"/>
  <c r="I147" i="14"/>
  <c r="J101" i="9" s="1"/>
  <c r="I143" i="14"/>
  <c r="J100" i="9" s="1"/>
  <c r="I141" i="14"/>
  <c r="J99" i="9" s="1"/>
  <c r="I118" i="14"/>
  <c r="J97" i="9" s="1"/>
  <c r="I98" i="14"/>
  <c r="J96" i="9" s="1"/>
  <c r="I93" i="14"/>
  <c r="J95" i="9" s="1"/>
  <c r="I90" i="14"/>
  <c r="J93" i="9" s="1"/>
  <c r="I87" i="14"/>
  <c r="J92" i="9" s="1"/>
  <c r="I83" i="14"/>
  <c r="J91" i="9" s="1"/>
  <c r="I75" i="14"/>
  <c r="I60" i="14"/>
  <c r="J87" i="9" s="1"/>
  <c r="I55" i="14"/>
  <c r="J86" i="9" s="1"/>
  <c r="I46" i="14"/>
  <c r="J84" i="9" s="1"/>
  <c r="I40" i="14"/>
  <c r="J81" i="9" s="1"/>
  <c r="I33" i="14"/>
  <c r="J80" i="9" s="1"/>
  <c r="I25" i="14"/>
  <c r="I20" i="14"/>
  <c r="H107" i="13"/>
  <c r="H105" i="13"/>
  <c r="H104" i="13" s="1"/>
  <c r="H102" i="13"/>
  <c r="H99" i="13"/>
  <c r="H98" i="13" s="1"/>
  <c r="H96" i="13"/>
  <c r="H95" i="13" s="1"/>
  <c r="H87" i="13"/>
  <c r="H82" i="13"/>
  <c r="H79" i="13"/>
  <c r="H76" i="13"/>
  <c r="H65" i="13"/>
  <c r="H60" i="13"/>
  <c r="G16" i="18" s="1"/>
  <c r="J16" i="18" s="1"/>
  <c r="I43" i="9"/>
  <c r="I42" i="9" s="1"/>
  <c r="H57" i="13"/>
  <c r="J43" i="9" s="1"/>
  <c r="J42" i="9" s="1"/>
  <c r="H49" i="13"/>
  <c r="H46" i="13"/>
  <c r="G14" i="18" s="1"/>
  <c r="J14" i="18" s="1"/>
  <c r="H40" i="13"/>
  <c r="H35" i="13"/>
  <c r="H32" i="13"/>
  <c r="H29" i="13"/>
  <c r="H26" i="13"/>
  <c r="H18" i="13"/>
  <c r="G12" i="18" s="1"/>
  <c r="J12" i="18" s="1"/>
  <c r="G272" i="14"/>
  <c r="G270" i="14"/>
  <c r="G268" i="14"/>
  <c r="I326" i="14"/>
  <c r="D26" i="20"/>
  <c r="G328" i="14"/>
  <c r="E26" i="20" s="1"/>
  <c r="F26" i="20"/>
  <c r="I328" i="14"/>
  <c r="D328" i="14"/>
  <c r="G300" i="14"/>
  <c r="I300" i="14"/>
  <c r="D316" i="14"/>
  <c r="G316" i="14"/>
  <c r="I316" i="14"/>
  <c r="G319" i="14"/>
  <c r="I319" i="14"/>
  <c r="D319" i="14"/>
  <c r="D272" i="14"/>
  <c r="D147" i="14"/>
  <c r="G231" i="14"/>
  <c r="D231" i="14"/>
  <c r="K206" i="14"/>
  <c r="K54" i="14"/>
  <c r="K152" i="9" l="1"/>
  <c r="L152" i="9"/>
  <c r="K148" i="9"/>
  <c r="L148" i="9"/>
  <c r="H16" i="18"/>
  <c r="G15" i="18"/>
  <c r="J15" i="18" s="1"/>
  <c r="I16" i="18"/>
  <c r="G13" i="18"/>
  <c r="J13" i="18" s="1"/>
  <c r="H14" i="18"/>
  <c r="I14" i="18"/>
  <c r="G11" i="18"/>
  <c r="J11" i="18" s="1"/>
  <c r="H12" i="18"/>
  <c r="I12" i="18"/>
  <c r="G27" i="18"/>
  <c r="J27" i="18" s="1"/>
  <c r="H28" i="18"/>
  <c r="I28" i="18"/>
  <c r="K151" i="9"/>
  <c r="L151" i="9"/>
  <c r="J150" i="9"/>
  <c r="J146" i="9"/>
  <c r="K147" i="9"/>
  <c r="L147" i="9"/>
  <c r="J143" i="9"/>
  <c r="K144" i="9"/>
  <c r="L144" i="9"/>
  <c r="J141" i="9"/>
  <c r="L142" i="9"/>
  <c r="K142" i="9"/>
  <c r="J133" i="9"/>
  <c r="L134" i="9"/>
  <c r="K134" i="9"/>
  <c r="L129" i="9"/>
  <c r="K129" i="9"/>
  <c r="J127" i="9"/>
  <c r="K105" i="9"/>
  <c r="L105" i="9"/>
  <c r="K95" i="9"/>
  <c r="L95" i="9"/>
  <c r="K108" i="9"/>
  <c r="L108" i="9"/>
  <c r="K87" i="9"/>
  <c r="L87" i="9"/>
  <c r="K96" i="9"/>
  <c r="L96" i="9"/>
  <c r="K109" i="9"/>
  <c r="L109" i="9"/>
  <c r="K91" i="9"/>
  <c r="L91" i="9"/>
  <c r="K86" i="9"/>
  <c r="L86" i="9"/>
  <c r="K103" i="9"/>
  <c r="L103" i="9"/>
  <c r="K97" i="9"/>
  <c r="L97" i="9"/>
  <c r="K110" i="9"/>
  <c r="L110" i="9"/>
  <c r="K80" i="9"/>
  <c r="L80" i="9"/>
  <c r="K111" i="9"/>
  <c r="L111" i="9"/>
  <c r="K81" i="9"/>
  <c r="L81" i="9"/>
  <c r="K92" i="9"/>
  <c r="L92" i="9"/>
  <c r="K100" i="9"/>
  <c r="L100" i="9"/>
  <c r="K106" i="9"/>
  <c r="L106" i="9"/>
  <c r="K99" i="9"/>
  <c r="L99" i="9"/>
  <c r="K84" i="9"/>
  <c r="L84" i="9"/>
  <c r="K93" i="9"/>
  <c r="L93" i="9"/>
  <c r="K101" i="9"/>
  <c r="L101" i="9"/>
  <c r="K107" i="9"/>
  <c r="L107" i="9"/>
  <c r="J94" i="9"/>
  <c r="J79" i="9"/>
  <c r="I64" i="14"/>
  <c r="J90" i="9"/>
  <c r="I225" i="14"/>
  <c r="I221" i="14" s="1"/>
  <c r="J119" i="9"/>
  <c r="I24" i="14"/>
  <c r="J78" i="9"/>
  <c r="J104" i="9"/>
  <c r="I19" i="14"/>
  <c r="J76" i="9"/>
  <c r="J83" i="9"/>
  <c r="I11" i="9"/>
  <c r="J66" i="9"/>
  <c r="I33" i="21"/>
  <c r="H33" i="21"/>
  <c r="G230" i="14"/>
  <c r="I230" i="14"/>
  <c r="D230" i="14"/>
  <c r="I20" i="21"/>
  <c r="H26" i="21"/>
  <c r="F37" i="20"/>
  <c r="F33" i="20" s="1"/>
  <c r="I481" i="14"/>
  <c r="H53" i="20"/>
  <c r="I53" i="20"/>
  <c r="G72" i="20"/>
  <c r="J72" i="20" s="1"/>
  <c r="F72" i="20"/>
  <c r="F71" i="20" s="1"/>
  <c r="F50" i="20"/>
  <c r="I392" i="14"/>
  <c r="J159" i="9" s="1"/>
  <c r="G37" i="20"/>
  <c r="J37" i="20" s="1"/>
  <c r="H65" i="20"/>
  <c r="H28" i="20"/>
  <c r="I28" i="20"/>
  <c r="G26" i="20"/>
  <c r="J26" i="20" s="1"/>
  <c r="H56" i="20"/>
  <c r="G50" i="20"/>
  <c r="J50" i="20" s="1"/>
  <c r="F43" i="20"/>
  <c r="H68" i="20"/>
  <c r="I68" i="20"/>
  <c r="I63" i="9"/>
  <c r="F69" i="13"/>
  <c r="H53" i="9"/>
  <c r="H52" i="9" s="1"/>
  <c r="I66" i="9"/>
  <c r="I213" i="14"/>
  <c r="H17" i="13"/>
  <c r="H22" i="21"/>
  <c r="I22" i="21"/>
  <c r="I27" i="21"/>
  <c r="I26" i="21"/>
  <c r="I484" i="14"/>
  <c r="I422" i="14"/>
  <c r="I502" i="14"/>
  <c r="H69" i="13"/>
  <c r="H34" i="13"/>
  <c r="G18" i="18" s="1"/>
  <c r="J18" i="18" s="1"/>
  <c r="H81" i="13"/>
  <c r="H78" i="13" s="1"/>
  <c r="G22" i="18" s="1"/>
  <c r="J22" i="18" s="1"/>
  <c r="H56" i="13"/>
  <c r="H45" i="13"/>
  <c r="I340" i="14"/>
  <c r="I339" i="14" s="1"/>
  <c r="I32" i="14"/>
  <c r="I371" i="14"/>
  <c r="I256" i="14"/>
  <c r="H75" i="13"/>
  <c r="H101" i="13"/>
  <c r="H94" i="13" s="1"/>
  <c r="H93" i="13" s="1"/>
  <c r="I452" i="14"/>
  <c r="I432" i="14"/>
  <c r="I404" i="14"/>
  <c r="I346" i="14"/>
  <c r="I267" i="14"/>
  <c r="J132" i="9" s="1"/>
  <c r="I177" i="14"/>
  <c r="I92" i="14"/>
  <c r="I45" i="14"/>
  <c r="G25" i="14"/>
  <c r="H78" i="9" s="1"/>
  <c r="H77" i="9" s="1"/>
  <c r="D25" i="14"/>
  <c r="D24" i="14" s="1"/>
  <c r="K31" i="14"/>
  <c r="K27" i="14"/>
  <c r="D502" i="14"/>
  <c r="D14" i="14" s="1"/>
  <c r="D500" i="14"/>
  <c r="D499" i="14" s="1"/>
  <c r="D496" i="14"/>
  <c r="D495" i="14" s="1"/>
  <c r="D494" i="14" s="1"/>
  <c r="D488" i="14"/>
  <c r="D485" i="14"/>
  <c r="D482" i="14"/>
  <c r="D481" i="14" s="1"/>
  <c r="D478" i="14"/>
  <c r="D476" i="14"/>
  <c r="D470" i="14"/>
  <c r="D467" i="14"/>
  <c r="D462" i="14"/>
  <c r="D459" i="14"/>
  <c r="D456" i="14"/>
  <c r="D453" i="14"/>
  <c r="D450" i="14"/>
  <c r="D448" i="14"/>
  <c r="D444" i="14"/>
  <c r="D441" i="14"/>
  <c r="D438" i="14"/>
  <c r="D428" i="14"/>
  <c r="D426" i="14"/>
  <c r="D423" i="14"/>
  <c r="D418" i="14"/>
  <c r="D410" i="14"/>
  <c r="D408" i="14"/>
  <c r="D393" i="14"/>
  <c r="D392" i="14" s="1"/>
  <c r="D389" i="14"/>
  <c r="D380" i="14"/>
  <c r="D377" i="14"/>
  <c r="D372" i="14"/>
  <c r="D362" i="14"/>
  <c r="D347" i="14"/>
  <c r="D343" i="14"/>
  <c r="D341" i="14"/>
  <c r="D333" i="14"/>
  <c r="D331" i="14"/>
  <c r="D326" i="14"/>
  <c r="D270" i="14"/>
  <c r="D268" i="14"/>
  <c r="D257" i="14"/>
  <c r="D256" i="14" s="1"/>
  <c r="D243" i="14"/>
  <c r="D242" i="14" s="1"/>
  <c r="D236" i="14"/>
  <c r="D226" i="14"/>
  <c r="D225" i="14" s="1"/>
  <c r="D223" i="14"/>
  <c r="D222" i="14" s="1"/>
  <c r="D215" i="14"/>
  <c r="D214" i="14" s="1"/>
  <c r="D213" i="14" s="1"/>
  <c r="D210" i="14"/>
  <c r="D208" i="14"/>
  <c r="D203" i="14"/>
  <c r="D201" i="14"/>
  <c r="D193" i="14"/>
  <c r="D188" i="14"/>
  <c r="D178" i="14"/>
  <c r="D175" i="14"/>
  <c r="D160" i="14"/>
  <c r="D156" i="14"/>
  <c r="D143" i="14"/>
  <c r="D141" i="14"/>
  <c r="D122" i="14"/>
  <c r="D118" i="14"/>
  <c r="D98" i="14"/>
  <c r="D93" i="14"/>
  <c r="D90" i="14"/>
  <c r="D87" i="14"/>
  <c r="D83" i="14"/>
  <c r="D75" i="14"/>
  <c r="D65" i="14"/>
  <c r="D60" i="14"/>
  <c r="D55" i="14"/>
  <c r="D52" i="14"/>
  <c r="D46" i="14"/>
  <c r="D40" i="14"/>
  <c r="D33" i="14"/>
  <c r="D20" i="14"/>
  <c r="D19" i="14" s="1"/>
  <c r="G459" i="14"/>
  <c r="E67" i="20" s="1"/>
  <c r="D229" i="14" l="1"/>
  <c r="D10" i="14"/>
  <c r="G21" i="18"/>
  <c r="J21" i="18" s="1"/>
  <c r="I22" i="18"/>
  <c r="H22" i="18"/>
  <c r="I15" i="18"/>
  <c r="H15" i="18"/>
  <c r="H13" i="18"/>
  <c r="I13" i="18"/>
  <c r="G17" i="18"/>
  <c r="J17" i="18" s="1"/>
  <c r="I18" i="18"/>
  <c r="H18" i="18"/>
  <c r="I11" i="18"/>
  <c r="H11" i="18"/>
  <c r="J158" i="9"/>
  <c r="K159" i="9"/>
  <c r="L159" i="9"/>
  <c r="H27" i="18"/>
  <c r="I27" i="18"/>
  <c r="G26" i="18"/>
  <c r="J26" i="18" s="1"/>
  <c r="K150" i="9"/>
  <c r="L150" i="9"/>
  <c r="J145" i="9"/>
  <c r="K145" i="9" s="1"/>
  <c r="K146" i="9"/>
  <c r="L146" i="9"/>
  <c r="L143" i="9"/>
  <c r="K143" i="9"/>
  <c r="J140" i="9"/>
  <c r="K141" i="9"/>
  <c r="L141" i="9"/>
  <c r="L133" i="9"/>
  <c r="K133" i="9"/>
  <c r="J131" i="9"/>
  <c r="K132" i="9"/>
  <c r="L132" i="9"/>
  <c r="J126" i="9"/>
  <c r="L127" i="9"/>
  <c r="K127" i="9"/>
  <c r="K79" i="9"/>
  <c r="L79" i="9"/>
  <c r="K83" i="9"/>
  <c r="L83" i="9"/>
  <c r="J118" i="9"/>
  <c r="J117" i="9" s="1"/>
  <c r="K119" i="9"/>
  <c r="L119" i="9"/>
  <c r="K104" i="9"/>
  <c r="L104" i="9"/>
  <c r="J77" i="9"/>
  <c r="K78" i="9"/>
  <c r="L78" i="9"/>
  <c r="J75" i="9"/>
  <c r="L75" i="9" s="1"/>
  <c r="K76" i="9"/>
  <c r="L76" i="9"/>
  <c r="K94" i="9"/>
  <c r="L94" i="9"/>
  <c r="J88" i="9"/>
  <c r="J82" i="9" s="1"/>
  <c r="K90" i="9"/>
  <c r="L90" i="9"/>
  <c r="H16" i="13"/>
  <c r="H7" i="13" s="1"/>
  <c r="H8" i="13"/>
  <c r="J63" i="9"/>
  <c r="H37" i="20"/>
  <c r="G71" i="20"/>
  <c r="J71" i="20" s="1"/>
  <c r="H72" i="20"/>
  <c r="H44" i="20"/>
  <c r="G43" i="20"/>
  <c r="J43" i="20" s="1"/>
  <c r="I26" i="20"/>
  <c r="H82" i="20"/>
  <c r="H39" i="20"/>
  <c r="G33" i="20"/>
  <c r="J33" i="20" s="1"/>
  <c r="H67" i="20"/>
  <c r="I67" i="20"/>
  <c r="H10" i="13"/>
  <c r="G33" i="16" s="1"/>
  <c r="I14" i="14"/>
  <c r="G45" i="16" s="1"/>
  <c r="I62" i="9"/>
  <c r="I10" i="9" s="1"/>
  <c r="D64" i="14"/>
  <c r="D484" i="14"/>
  <c r="D422" i="14"/>
  <c r="I345" i="14"/>
  <c r="I338" i="14" s="1"/>
  <c r="I18" i="14"/>
  <c r="I266" i="14"/>
  <c r="I403" i="14"/>
  <c r="I421" i="14"/>
  <c r="I44" i="14"/>
  <c r="D371" i="14"/>
  <c r="D340" i="14"/>
  <c r="D339" i="14" s="1"/>
  <c r="D177" i="14"/>
  <c r="D404" i="14"/>
  <c r="D403" i="14" s="1"/>
  <c r="D346" i="14"/>
  <c r="D32" i="14"/>
  <c r="D18" i="14" s="1"/>
  <c r="D452" i="14"/>
  <c r="D432" i="14"/>
  <c r="D241" i="14"/>
  <c r="D221" i="14"/>
  <c r="D92" i="14"/>
  <c r="D45" i="14"/>
  <c r="H5" i="13" l="1"/>
  <c r="G35" i="16"/>
  <c r="G34" i="16" s="1"/>
  <c r="G32" i="16"/>
  <c r="G31" i="16" s="1"/>
  <c r="H4" i="13"/>
  <c r="H21" i="18"/>
  <c r="I21" i="18"/>
  <c r="G10" i="18"/>
  <c r="J10" i="18" s="1"/>
  <c r="I17" i="18"/>
  <c r="H17" i="18"/>
  <c r="I26" i="18"/>
  <c r="H26" i="18"/>
  <c r="J157" i="9"/>
  <c r="L158" i="9"/>
  <c r="K158" i="9"/>
  <c r="L145" i="9"/>
  <c r="L140" i="9"/>
  <c r="K140" i="9"/>
  <c r="L131" i="9"/>
  <c r="K131" i="9"/>
  <c r="J130" i="9"/>
  <c r="K126" i="9"/>
  <c r="L126" i="9"/>
  <c r="J74" i="9"/>
  <c r="K74" i="9" s="1"/>
  <c r="K75" i="9"/>
  <c r="K77" i="9"/>
  <c r="L77" i="9"/>
  <c r="K82" i="9"/>
  <c r="L82" i="9"/>
  <c r="K117" i="9"/>
  <c r="L117" i="9"/>
  <c r="K88" i="9"/>
  <c r="L88" i="9"/>
  <c r="K118" i="9"/>
  <c r="L118" i="9"/>
  <c r="J45" i="16"/>
  <c r="I45" i="16"/>
  <c r="J33" i="16"/>
  <c r="I33" i="16"/>
  <c r="I35" i="16"/>
  <c r="H35" i="16"/>
  <c r="J62" i="9"/>
  <c r="H33" i="16"/>
  <c r="J11" i="9"/>
  <c r="M11" i="9" s="1"/>
  <c r="H85" i="20"/>
  <c r="G80" i="20"/>
  <c r="J80" i="20" s="1"/>
  <c r="H14" i="20"/>
  <c r="F11" i="20"/>
  <c r="H66" i="20"/>
  <c r="G64" i="20"/>
  <c r="J64" i="20" s="1"/>
  <c r="I13" i="14"/>
  <c r="G42" i="16" s="1"/>
  <c r="J14" i="14"/>
  <c r="J13" i="14"/>
  <c r="J11" i="14"/>
  <c r="D345" i="14"/>
  <c r="D338" i="14" s="1"/>
  <c r="D13" i="14" s="1"/>
  <c r="I402" i="14"/>
  <c r="D421" i="14"/>
  <c r="D44" i="14"/>
  <c r="J32" i="16" l="1"/>
  <c r="H32" i="16"/>
  <c r="I32" i="16"/>
  <c r="J35" i="16"/>
  <c r="I10" i="18"/>
  <c r="H10" i="18"/>
  <c r="L157" i="9"/>
  <c r="K157" i="9"/>
  <c r="J139" i="9"/>
  <c r="K139" i="9" s="1"/>
  <c r="K130" i="9"/>
  <c r="L130" i="9"/>
  <c r="L74" i="9"/>
  <c r="J73" i="9"/>
  <c r="M73" i="9" s="1"/>
  <c r="G72" i="9"/>
  <c r="J10" i="9"/>
  <c r="M10" i="9" s="1"/>
  <c r="J42" i="16"/>
  <c r="I42" i="16"/>
  <c r="J34" i="16"/>
  <c r="I34" i="16"/>
  <c r="J31" i="16"/>
  <c r="I31" i="16"/>
  <c r="G30" i="16"/>
  <c r="H34" i="16"/>
  <c r="H3" i="13"/>
  <c r="H31" i="16"/>
  <c r="H42" i="16"/>
  <c r="G11" i="20"/>
  <c r="H12" i="20"/>
  <c r="J6" i="14"/>
  <c r="I11" i="14"/>
  <c r="G44" i="16" s="1"/>
  <c r="I401" i="14"/>
  <c r="D402" i="14"/>
  <c r="G10" i="20" l="1"/>
  <c r="J10" i="20" s="1"/>
  <c r="J11" i="20"/>
  <c r="L139" i="9"/>
  <c r="J72" i="9"/>
  <c r="L73" i="9"/>
  <c r="K73" i="9"/>
  <c r="J30" i="16"/>
  <c r="I30" i="16"/>
  <c r="J44" i="16"/>
  <c r="I44" i="16"/>
  <c r="H30" i="16"/>
  <c r="G43" i="16"/>
  <c r="H44" i="16"/>
  <c r="I6" i="14"/>
  <c r="D401" i="14"/>
  <c r="D11" i="14"/>
  <c r="D6" i="14" s="1"/>
  <c r="G500" i="14"/>
  <c r="G499" i="14" s="1"/>
  <c r="G495" i="14"/>
  <c r="G488" i="14"/>
  <c r="G485" i="14"/>
  <c r="G482" i="14"/>
  <c r="G476" i="14"/>
  <c r="G470" i="14"/>
  <c r="G467" i="14"/>
  <c r="G462" i="14"/>
  <c r="E53" i="20" s="1"/>
  <c r="G456" i="14"/>
  <c r="G450" i="14"/>
  <c r="G448" i="14"/>
  <c r="G444" i="14"/>
  <c r="G441" i="14"/>
  <c r="G438" i="14"/>
  <c r="G428" i="14"/>
  <c r="G426" i="14"/>
  <c r="G423" i="14"/>
  <c r="G418" i="14"/>
  <c r="G410" i="14"/>
  <c r="G408" i="14"/>
  <c r="K394" i="14"/>
  <c r="J394" i="14"/>
  <c r="G393" i="14"/>
  <c r="E28" i="18" s="1"/>
  <c r="K391" i="14"/>
  <c r="J391" i="14"/>
  <c r="K390" i="14"/>
  <c r="J390" i="14"/>
  <c r="G389" i="14"/>
  <c r="K386" i="14"/>
  <c r="J386" i="14"/>
  <c r="K385" i="14"/>
  <c r="J385" i="14"/>
  <c r="K383" i="14"/>
  <c r="J383" i="14"/>
  <c r="K381" i="14"/>
  <c r="J381" i="14"/>
  <c r="K379" i="14"/>
  <c r="J379" i="14"/>
  <c r="K378" i="14"/>
  <c r="J378" i="14"/>
  <c r="G377" i="14"/>
  <c r="H152" i="9" s="1"/>
  <c r="K376" i="14"/>
  <c r="J376" i="14"/>
  <c r="K375" i="14"/>
  <c r="J375" i="14"/>
  <c r="K373" i="14"/>
  <c r="J373" i="14"/>
  <c r="G372" i="14"/>
  <c r="H151" i="9" s="1"/>
  <c r="K368" i="14"/>
  <c r="J368" i="14"/>
  <c r="K367" i="14"/>
  <c r="J367" i="14"/>
  <c r="K365" i="14"/>
  <c r="J365" i="14"/>
  <c r="K364" i="14"/>
  <c r="J364" i="14"/>
  <c r="K363" i="14"/>
  <c r="J363" i="14"/>
  <c r="G362" i="14"/>
  <c r="H148" i="9" s="1"/>
  <c r="I37" i="20"/>
  <c r="K361" i="14"/>
  <c r="J361" i="14"/>
  <c r="K360" i="14"/>
  <c r="J360" i="14"/>
  <c r="K358" i="14"/>
  <c r="J358" i="14"/>
  <c r="K357" i="14"/>
  <c r="J357" i="14"/>
  <c r="K355" i="14"/>
  <c r="J355" i="14"/>
  <c r="K354" i="14"/>
  <c r="J354" i="14"/>
  <c r="K353" i="14"/>
  <c r="J353" i="14"/>
  <c r="K351" i="14"/>
  <c r="J351" i="14"/>
  <c r="K349" i="14"/>
  <c r="J349" i="14"/>
  <c r="K348" i="14"/>
  <c r="J348" i="14"/>
  <c r="G347" i="14"/>
  <c r="H147" i="9" s="1"/>
  <c r="K344" i="14"/>
  <c r="J344" i="14"/>
  <c r="G343" i="14"/>
  <c r="H144" i="9" s="1"/>
  <c r="K342" i="14"/>
  <c r="J342" i="14"/>
  <c r="G341" i="14"/>
  <c r="H142" i="9" s="1"/>
  <c r="K337" i="14"/>
  <c r="J337" i="14"/>
  <c r="K336" i="14"/>
  <c r="J336" i="14"/>
  <c r="K334" i="14"/>
  <c r="J334" i="14"/>
  <c r="G333" i="14"/>
  <c r="I65" i="20"/>
  <c r="K332" i="14"/>
  <c r="J332" i="14"/>
  <c r="G331" i="14"/>
  <c r="H134" i="9" s="1"/>
  <c r="K330" i="14"/>
  <c r="J330" i="14"/>
  <c r="K329" i="14"/>
  <c r="J329" i="14"/>
  <c r="K327" i="14"/>
  <c r="J327" i="14"/>
  <c r="G326" i="14"/>
  <c r="G267" i="14" s="1"/>
  <c r="H132" i="9" s="1"/>
  <c r="K325" i="14"/>
  <c r="J325" i="14"/>
  <c r="K322" i="14"/>
  <c r="J322" i="14"/>
  <c r="K321" i="14"/>
  <c r="J321" i="14"/>
  <c r="K320" i="14"/>
  <c r="J320" i="14"/>
  <c r="K318" i="14"/>
  <c r="J318" i="14"/>
  <c r="K317" i="14"/>
  <c r="J317" i="14"/>
  <c r="K315" i="14"/>
  <c r="J315" i="14"/>
  <c r="K314" i="14"/>
  <c r="J314" i="14"/>
  <c r="K313" i="14"/>
  <c r="J313" i="14"/>
  <c r="K303" i="14"/>
  <c r="J303" i="14"/>
  <c r="K302" i="14"/>
  <c r="J302" i="14"/>
  <c r="K301" i="14"/>
  <c r="J301" i="14"/>
  <c r="K291" i="14"/>
  <c r="J291" i="14"/>
  <c r="K290" i="14"/>
  <c r="J290" i="14"/>
  <c r="K288" i="14"/>
  <c r="J288" i="14"/>
  <c r="K287" i="14"/>
  <c r="J287" i="14"/>
  <c r="K286" i="14"/>
  <c r="J286" i="14"/>
  <c r="K285" i="14"/>
  <c r="J285" i="14"/>
  <c r="K284" i="14"/>
  <c r="J284" i="14"/>
  <c r="K282" i="14"/>
  <c r="J282" i="14"/>
  <c r="K281" i="14"/>
  <c r="J281" i="14"/>
  <c r="K280" i="14"/>
  <c r="J280" i="14"/>
  <c r="K279" i="14"/>
  <c r="J279" i="14"/>
  <c r="K278" i="14"/>
  <c r="J278" i="14"/>
  <c r="K277" i="14"/>
  <c r="J277" i="14"/>
  <c r="K276" i="14"/>
  <c r="J276" i="14"/>
  <c r="K275" i="14"/>
  <c r="J275" i="14"/>
  <c r="K274" i="14"/>
  <c r="J274" i="14"/>
  <c r="K273" i="14"/>
  <c r="J273" i="14"/>
  <c r="K271" i="14"/>
  <c r="J271" i="14"/>
  <c r="K269" i="14"/>
  <c r="J269" i="14"/>
  <c r="K265" i="14"/>
  <c r="J265" i="14"/>
  <c r="K263" i="14"/>
  <c r="J263" i="14"/>
  <c r="K262" i="14"/>
  <c r="J262" i="14"/>
  <c r="K261" i="14"/>
  <c r="J261" i="14"/>
  <c r="K260" i="14"/>
  <c r="J260" i="14"/>
  <c r="K259" i="14"/>
  <c r="J259" i="14"/>
  <c r="K258" i="14"/>
  <c r="J258" i="14"/>
  <c r="G257" i="14"/>
  <c r="H129" i="9" s="1"/>
  <c r="K255" i="14"/>
  <c r="J255" i="14"/>
  <c r="K253" i="14"/>
  <c r="J253" i="14"/>
  <c r="K252" i="14"/>
  <c r="J252" i="14"/>
  <c r="K249" i="14"/>
  <c r="J249" i="14"/>
  <c r="K247" i="14"/>
  <c r="J247" i="14"/>
  <c r="K246" i="14"/>
  <c r="J246" i="14"/>
  <c r="K245" i="14"/>
  <c r="J245" i="14"/>
  <c r="G243" i="14"/>
  <c r="K240" i="14"/>
  <c r="J240" i="14"/>
  <c r="K239" i="14"/>
  <c r="J239" i="14"/>
  <c r="K237" i="14"/>
  <c r="J237" i="14"/>
  <c r="G236" i="14"/>
  <c r="K234" i="14"/>
  <c r="J234" i="14"/>
  <c r="K233" i="14"/>
  <c r="J233" i="14"/>
  <c r="K232" i="14"/>
  <c r="J232" i="14"/>
  <c r="K228" i="14"/>
  <c r="J228" i="14"/>
  <c r="K227" i="14"/>
  <c r="J227" i="14"/>
  <c r="G226" i="14"/>
  <c r="H119" i="9" s="1"/>
  <c r="K224" i="14"/>
  <c r="J224" i="14"/>
  <c r="G223" i="14"/>
  <c r="G222" i="14" s="1"/>
  <c r="K220" i="14"/>
  <c r="J220" i="14"/>
  <c r="K219" i="14"/>
  <c r="J219" i="14"/>
  <c r="K218" i="14"/>
  <c r="J218" i="14"/>
  <c r="K217" i="14"/>
  <c r="J217" i="14"/>
  <c r="K216" i="14"/>
  <c r="J216" i="14"/>
  <c r="G215" i="14"/>
  <c r="K212" i="14"/>
  <c r="J212" i="14"/>
  <c r="K211" i="14"/>
  <c r="J211" i="14"/>
  <c r="G210" i="14"/>
  <c r="H111" i="9" s="1"/>
  <c r="K209" i="14"/>
  <c r="J209" i="14"/>
  <c r="G208" i="14"/>
  <c r="H110" i="9" s="1"/>
  <c r="K207" i="14"/>
  <c r="J207" i="14"/>
  <c r="K205" i="14"/>
  <c r="J205" i="14"/>
  <c r="K204" i="14"/>
  <c r="J204" i="14"/>
  <c r="G203" i="14"/>
  <c r="H109" i="9" s="1"/>
  <c r="K202" i="14"/>
  <c r="J202" i="14"/>
  <c r="G201" i="14"/>
  <c r="H108" i="9" s="1"/>
  <c r="K200" i="14"/>
  <c r="J200" i="14"/>
  <c r="K199" i="14"/>
  <c r="J199" i="14"/>
  <c r="K198" i="14"/>
  <c r="J198" i="14"/>
  <c r="K197" i="14"/>
  <c r="J197" i="14"/>
  <c r="K196" i="14"/>
  <c r="J196" i="14"/>
  <c r="K195" i="14"/>
  <c r="J195" i="14"/>
  <c r="K194" i="14"/>
  <c r="J194" i="14"/>
  <c r="G193" i="14"/>
  <c r="H107" i="9" s="1"/>
  <c r="K192" i="14"/>
  <c r="J192" i="14"/>
  <c r="K190" i="14"/>
  <c r="J190" i="14"/>
  <c r="K189" i="14"/>
  <c r="J189" i="14"/>
  <c r="G188" i="14"/>
  <c r="H106" i="9" s="1"/>
  <c r="J188" i="14"/>
  <c r="K187" i="14"/>
  <c r="J187" i="14"/>
  <c r="K185" i="14"/>
  <c r="J185" i="14"/>
  <c r="K184" i="14"/>
  <c r="J184" i="14"/>
  <c r="K183" i="14"/>
  <c r="J183" i="14"/>
  <c r="K182" i="14"/>
  <c r="J182" i="14"/>
  <c r="K181" i="14"/>
  <c r="J181" i="14"/>
  <c r="K180" i="14"/>
  <c r="J180" i="14"/>
  <c r="K179" i="14"/>
  <c r="J179" i="14"/>
  <c r="G178" i="14"/>
  <c r="H105" i="9" s="1"/>
  <c r="K176" i="14"/>
  <c r="J176" i="14"/>
  <c r="G175" i="14"/>
  <c r="K174" i="14"/>
  <c r="J174" i="14"/>
  <c r="K172" i="14"/>
  <c r="J172" i="14"/>
  <c r="K171" i="14"/>
  <c r="J171" i="14"/>
  <c r="K170" i="14"/>
  <c r="J170" i="14"/>
  <c r="K167" i="14"/>
  <c r="J167" i="14"/>
  <c r="K166" i="14"/>
  <c r="J166" i="14"/>
  <c r="K165" i="14"/>
  <c r="J165" i="14"/>
  <c r="K164" i="14"/>
  <c r="J164" i="14"/>
  <c r="K163" i="14"/>
  <c r="J163" i="14"/>
  <c r="K162" i="14"/>
  <c r="J162" i="14"/>
  <c r="K161" i="14"/>
  <c r="J161" i="14"/>
  <c r="G160" i="14"/>
  <c r="H103" i="9" s="1"/>
  <c r="K159" i="14"/>
  <c r="J159" i="14"/>
  <c r="K157" i="14"/>
  <c r="J157" i="14"/>
  <c r="G156" i="14"/>
  <c r="H102" i="9" s="1"/>
  <c r="K155" i="14"/>
  <c r="J155" i="14"/>
  <c r="K153" i="14"/>
  <c r="J153" i="14"/>
  <c r="K152" i="14"/>
  <c r="J152" i="14"/>
  <c r="K151" i="14"/>
  <c r="J151" i="14"/>
  <c r="K150" i="14"/>
  <c r="J150" i="14"/>
  <c r="K149" i="14"/>
  <c r="J149" i="14"/>
  <c r="K148" i="14"/>
  <c r="J148" i="14"/>
  <c r="G147" i="14"/>
  <c r="H101" i="9" s="1"/>
  <c r="K146" i="14"/>
  <c r="J146" i="14"/>
  <c r="K145" i="14"/>
  <c r="J145" i="14"/>
  <c r="K144" i="14"/>
  <c r="J144" i="14"/>
  <c r="G143" i="14"/>
  <c r="H100" i="9" s="1"/>
  <c r="K142" i="14"/>
  <c r="J142" i="14"/>
  <c r="K140" i="14"/>
  <c r="J140" i="14"/>
  <c r="K139" i="14"/>
  <c r="J139" i="14"/>
  <c r="K138" i="14"/>
  <c r="J138" i="14"/>
  <c r="K137" i="14"/>
  <c r="J137" i="14"/>
  <c r="K136" i="14"/>
  <c r="J136" i="14"/>
  <c r="K135" i="14"/>
  <c r="J135" i="14"/>
  <c r="K134" i="14"/>
  <c r="J134" i="14"/>
  <c r="K133" i="14"/>
  <c r="J133" i="14"/>
  <c r="K132" i="14"/>
  <c r="J132" i="14"/>
  <c r="K130" i="14"/>
  <c r="J130" i="14"/>
  <c r="K127" i="14"/>
  <c r="J127" i="14"/>
  <c r="K126" i="14"/>
  <c r="J126" i="14"/>
  <c r="K125" i="14"/>
  <c r="J125" i="14"/>
  <c r="K123" i="14"/>
  <c r="J123" i="14"/>
  <c r="K121" i="14"/>
  <c r="J121" i="14"/>
  <c r="K120" i="14"/>
  <c r="J120" i="14"/>
  <c r="K119" i="14"/>
  <c r="J119" i="14"/>
  <c r="G118" i="14"/>
  <c r="H97" i="9" s="1"/>
  <c r="K117" i="14"/>
  <c r="J117" i="14"/>
  <c r="K116" i="14"/>
  <c r="J116" i="14"/>
  <c r="K115" i="14"/>
  <c r="J115" i="14"/>
  <c r="K114" i="14"/>
  <c r="J114" i="14"/>
  <c r="K113" i="14"/>
  <c r="J113" i="14"/>
  <c r="K112" i="14"/>
  <c r="J112" i="14"/>
  <c r="K110" i="14"/>
  <c r="J110" i="14"/>
  <c r="K109" i="14"/>
  <c r="J109" i="14"/>
  <c r="K108" i="14"/>
  <c r="J108" i="14"/>
  <c r="K107" i="14"/>
  <c r="J107" i="14"/>
  <c r="K106" i="14"/>
  <c r="J106" i="14"/>
  <c r="K105" i="14"/>
  <c r="J105" i="14"/>
  <c r="K104" i="14"/>
  <c r="J104" i="14"/>
  <c r="K103" i="14"/>
  <c r="J103" i="14"/>
  <c r="K102" i="14"/>
  <c r="J102" i="14"/>
  <c r="K101" i="14"/>
  <c r="J101" i="14"/>
  <c r="K99" i="14"/>
  <c r="J99" i="14"/>
  <c r="K97" i="14"/>
  <c r="J97" i="14"/>
  <c r="K96" i="14"/>
  <c r="J96" i="14"/>
  <c r="K95" i="14"/>
  <c r="J95" i="14"/>
  <c r="K94" i="14"/>
  <c r="J94" i="14"/>
  <c r="G93" i="14"/>
  <c r="H95" i="9" s="1"/>
  <c r="K91" i="14"/>
  <c r="J91" i="14"/>
  <c r="G90" i="14"/>
  <c r="H93" i="9" s="1"/>
  <c r="K89" i="14"/>
  <c r="J89" i="14"/>
  <c r="K88" i="14"/>
  <c r="J88" i="14"/>
  <c r="G87" i="14"/>
  <c r="H92" i="9" s="1"/>
  <c r="K86" i="14"/>
  <c r="J86" i="14"/>
  <c r="K85" i="14"/>
  <c r="J85" i="14"/>
  <c r="K84" i="14"/>
  <c r="J84" i="14"/>
  <c r="G83" i="14"/>
  <c r="H91" i="9" s="1"/>
  <c r="K82" i="14"/>
  <c r="J82" i="14"/>
  <c r="K80" i="14"/>
  <c r="J80" i="14"/>
  <c r="K77" i="14"/>
  <c r="J77" i="14"/>
  <c r="K76" i="14"/>
  <c r="J76" i="14"/>
  <c r="G75" i="14"/>
  <c r="H90" i="9" s="1"/>
  <c r="K73" i="14"/>
  <c r="J73" i="14"/>
  <c r="K71" i="14"/>
  <c r="J71" i="14"/>
  <c r="K70" i="14"/>
  <c r="J70" i="14"/>
  <c r="K69" i="14"/>
  <c r="J69" i="14"/>
  <c r="K68" i="14"/>
  <c r="J68" i="14"/>
  <c r="K67" i="14"/>
  <c r="I74" i="9" s="1"/>
  <c r="I73" i="9" s="1"/>
  <c r="J67" i="14"/>
  <c r="K66" i="14"/>
  <c r="J66" i="14"/>
  <c r="K63" i="14"/>
  <c r="J63" i="14"/>
  <c r="K62" i="14"/>
  <c r="J62" i="14"/>
  <c r="K61" i="14"/>
  <c r="J61" i="14"/>
  <c r="G60" i="14"/>
  <c r="H87" i="9" s="1"/>
  <c r="K56" i="14"/>
  <c r="J56" i="14"/>
  <c r="G55" i="14"/>
  <c r="H86" i="9" s="1"/>
  <c r="K53" i="14"/>
  <c r="J53" i="14"/>
  <c r="G52" i="14"/>
  <c r="H85" i="9" s="1"/>
  <c r="K51" i="14"/>
  <c r="J51" i="14"/>
  <c r="K50" i="14"/>
  <c r="J50" i="14"/>
  <c r="K49" i="14"/>
  <c r="J49" i="14"/>
  <c r="K48" i="14"/>
  <c r="J48" i="14"/>
  <c r="K47" i="14"/>
  <c r="J47" i="14"/>
  <c r="G46" i="14"/>
  <c r="H84" i="9" s="1"/>
  <c r="K43" i="14"/>
  <c r="J43" i="14"/>
  <c r="K42" i="14"/>
  <c r="J42" i="14"/>
  <c r="K41" i="14"/>
  <c r="J41" i="14"/>
  <c r="G40" i="14"/>
  <c r="H81" i="9" s="1"/>
  <c r="K39" i="14"/>
  <c r="J39" i="14"/>
  <c r="K38" i="14"/>
  <c r="J38" i="14"/>
  <c r="K37" i="14"/>
  <c r="J37" i="14"/>
  <c r="K36" i="14"/>
  <c r="J36" i="14"/>
  <c r="K35" i="14"/>
  <c r="J35" i="14"/>
  <c r="K34" i="14"/>
  <c r="J34" i="14"/>
  <c r="G33" i="14"/>
  <c r="H80" i="9" s="1"/>
  <c r="K30" i="14"/>
  <c r="J30" i="14"/>
  <c r="K29" i="14"/>
  <c r="J29" i="14"/>
  <c r="K28" i="14"/>
  <c r="J28" i="14"/>
  <c r="K26" i="14"/>
  <c r="J26" i="14"/>
  <c r="G24" i="14"/>
  <c r="K23" i="14"/>
  <c r="J23" i="14"/>
  <c r="K22" i="14"/>
  <c r="J22" i="14"/>
  <c r="K21" i="14"/>
  <c r="J21" i="14"/>
  <c r="G20" i="14"/>
  <c r="F107" i="13"/>
  <c r="F105" i="13"/>
  <c r="L53" i="9"/>
  <c r="F102" i="13"/>
  <c r="F99" i="13"/>
  <c r="F96" i="13"/>
  <c r="F95" i="13" s="1"/>
  <c r="F87" i="13"/>
  <c r="J83" i="13"/>
  <c r="I83" i="13"/>
  <c r="G66" i="9"/>
  <c r="L66" i="9" s="1"/>
  <c r="J80" i="13"/>
  <c r="I80" i="13"/>
  <c r="F79" i="13"/>
  <c r="F76" i="13"/>
  <c r="J72" i="13"/>
  <c r="I72" i="13"/>
  <c r="J68" i="13"/>
  <c r="I68" i="13"/>
  <c r="J66" i="13"/>
  <c r="I66" i="13"/>
  <c r="F65" i="13"/>
  <c r="J64" i="13"/>
  <c r="I64" i="13"/>
  <c r="J62" i="13"/>
  <c r="I62" i="13"/>
  <c r="F60" i="13"/>
  <c r="E16" i="18" s="1"/>
  <c r="J59" i="13"/>
  <c r="I59" i="13"/>
  <c r="J58" i="13"/>
  <c r="I58" i="13"/>
  <c r="F57" i="13"/>
  <c r="K43" i="9"/>
  <c r="J55" i="13"/>
  <c r="I55" i="13"/>
  <c r="J52" i="13"/>
  <c r="I52" i="13"/>
  <c r="J51" i="13"/>
  <c r="I51" i="13"/>
  <c r="J50" i="13"/>
  <c r="I50" i="13"/>
  <c r="F49" i="13"/>
  <c r="K36" i="9"/>
  <c r="J47" i="13"/>
  <c r="I47" i="13"/>
  <c r="F46" i="13"/>
  <c r="E14" i="18" s="1"/>
  <c r="J44" i="13"/>
  <c r="I44" i="13"/>
  <c r="J41" i="13"/>
  <c r="I41" i="13"/>
  <c r="F40" i="13"/>
  <c r="J39" i="13"/>
  <c r="I39" i="13"/>
  <c r="J36" i="13"/>
  <c r="I36" i="13"/>
  <c r="F35" i="13"/>
  <c r="J33" i="13"/>
  <c r="I33" i="13"/>
  <c r="F32" i="13"/>
  <c r="J31" i="13"/>
  <c r="I31" i="13"/>
  <c r="J30" i="13"/>
  <c r="I30" i="13"/>
  <c r="F29" i="13"/>
  <c r="J28" i="13"/>
  <c r="I28" i="13"/>
  <c r="J27" i="13"/>
  <c r="I27" i="13"/>
  <c r="F26" i="13"/>
  <c r="J25" i="13"/>
  <c r="I25" i="13"/>
  <c r="J24" i="13"/>
  <c r="I24" i="13"/>
  <c r="J23" i="13"/>
  <c r="I23" i="13"/>
  <c r="J22" i="13"/>
  <c r="I22" i="13"/>
  <c r="J21" i="13"/>
  <c r="I21" i="13"/>
  <c r="J20" i="13"/>
  <c r="I20" i="13"/>
  <c r="J19" i="13"/>
  <c r="I19" i="13"/>
  <c r="F18" i="13"/>
  <c r="K13" i="9"/>
  <c r="C80" i="20"/>
  <c r="H80" i="20" s="1"/>
  <c r="C71" i="20"/>
  <c r="H71" i="20" s="1"/>
  <c r="C64" i="20"/>
  <c r="H64" i="20" s="1"/>
  <c r="C50" i="20"/>
  <c r="H50" i="20" s="1"/>
  <c r="C43" i="20"/>
  <c r="H43" i="20" s="1"/>
  <c r="C33" i="20"/>
  <c r="H33" i="20" s="1"/>
  <c r="C26" i="20"/>
  <c r="H26" i="20" s="1"/>
  <c r="C11" i="20"/>
  <c r="K72" i="9" l="1"/>
  <c r="M72" i="9"/>
  <c r="E12" i="18"/>
  <c r="E13" i="18"/>
  <c r="E15" i="18"/>
  <c r="G229" i="14"/>
  <c r="G10" i="14"/>
  <c r="H131" i="9"/>
  <c r="H141" i="9"/>
  <c r="H146" i="9"/>
  <c r="H143" i="9"/>
  <c r="H150" i="9"/>
  <c r="G242" i="14"/>
  <c r="H128" i="9"/>
  <c r="H133" i="9"/>
  <c r="E27" i="18"/>
  <c r="L72" i="9"/>
  <c r="H11" i="20"/>
  <c r="C10" i="20"/>
  <c r="H10" i="20" s="1"/>
  <c r="H118" i="9"/>
  <c r="H88" i="9"/>
  <c r="H94" i="9"/>
  <c r="H104" i="9"/>
  <c r="G19" i="14"/>
  <c r="K19" i="14" s="1"/>
  <c r="H76" i="9"/>
  <c r="H79" i="9"/>
  <c r="H83" i="9"/>
  <c r="J43" i="16"/>
  <c r="I43" i="16"/>
  <c r="H43" i="16"/>
  <c r="G481" i="14"/>
  <c r="E72" i="20"/>
  <c r="E71" i="20" s="1"/>
  <c r="E37" i="20"/>
  <c r="F64" i="20"/>
  <c r="D50" i="20"/>
  <c r="I50" i="20" s="1"/>
  <c r="I56" i="20"/>
  <c r="E50" i="20"/>
  <c r="D71" i="20"/>
  <c r="I71" i="20" s="1"/>
  <c r="I72" i="20"/>
  <c r="G452" i="14"/>
  <c r="L36" i="9"/>
  <c r="H43" i="9"/>
  <c r="H42" i="9" s="1"/>
  <c r="G43" i="9"/>
  <c r="G42" i="9" s="1"/>
  <c r="G63" i="9"/>
  <c r="G62" i="9" s="1"/>
  <c r="H66" i="9"/>
  <c r="F75" i="13"/>
  <c r="H63" i="9"/>
  <c r="F17" i="13"/>
  <c r="F63" i="9"/>
  <c r="K64" i="9"/>
  <c r="F66" i="9"/>
  <c r="K66" i="9" s="1"/>
  <c r="K27" i="9"/>
  <c r="K12" i="9"/>
  <c r="F81" i="13"/>
  <c r="F78" i="13" s="1"/>
  <c r="E22" i="18" s="1"/>
  <c r="J32" i="13"/>
  <c r="J26" i="13"/>
  <c r="G484" i="14"/>
  <c r="G64" i="14"/>
  <c r="G422" i="14"/>
  <c r="I60" i="13"/>
  <c r="F98" i="13"/>
  <c r="F34" i="13"/>
  <c r="E18" i="18" s="1"/>
  <c r="L34" i="9"/>
  <c r="J60" i="13"/>
  <c r="J49" i="13"/>
  <c r="L27" i="9"/>
  <c r="L13" i="9"/>
  <c r="I85" i="20"/>
  <c r="J256" i="14"/>
  <c r="G404" i="14"/>
  <c r="G403" i="14" s="1"/>
  <c r="J230" i="14"/>
  <c r="G502" i="14"/>
  <c r="G494" i="14"/>
  <c r="G432" i="14"/>
  <c r="J82" i="13"/>
  <c r="F104" i="13"/>
  <c r="F101" i="13"/>
  <c r="G266" i="14"/>
  <c r="I20" i="20"/>
  <c r="G45" i="14"/>
  <c r="K331" i="14"/>
  <c r="J223" i="14"/>
  <c r="G177" i="14"/>
  <c r="J83" i="14"/>
  <c r="K25" i="14"/>
  <c r="J225" i="14"/>
  <c r="K52" i="14"/>
  <c r="K60" i="14"/>
  <c r="J98" i="14"/>
  <c r="J210" i="14"/>
  <c r="K223" i="14"/>
  <c r="J122" i="14"/>
  <c r="J143" i="14"/>
  <c r="J156" i="14"/>
  <c r="K270" i="14"/>
  <c r="K319" i="14"/>
  <c r="J347" i="14"/>
  <c r="K372" i="14"/>
  <c r="K33" i="14"/>
  <c r="J366" i="14"/>
  <c r="G92" i="14"/>
  <c r="K236" i="14"/>
  <c r="K243" i="14"/>
  <c r="K268" i="14"/>
  <c r="K272" i="14"/>
  <c r="J326" i="14"/>
  <c r="K377" i="14"/>
  <c r="K389" i="14"/>
  <c r="I72" i="9" s="1"/>
  <c r="J208" i="14"/>
  <c r="J90" i="14"/>
  <c r="K93" i="14"/>
  <c r="K118" i="14"/>
  <c r="K141" i="14"/>
  <c r="J175" i="14"/>
  <c r="K178" i="14"/>
  <c r="K193" i="14"/>
  <c r="K203" i="14"/>
  <c r="K210" i="14"/>
  <c r="K215" i="14"/>
  <c r="G340" i="14"/>
  <c r="G339" i="14" s="1"/>
  <c r="J343" i="14"/>
  <c r="G346" i="14"/>
  <c r="K362" i="14"/>
  <c r="J392" i="14"/>
  <c r="K75" i="14"/>
  <c r="K87" i="14"/>
  <c r="K147" i="14"/>
  <c r="K160" i="14"/>
  <c r="J215" i="14"/>
  <c r="K333" i="14"/>
  <c r="K366" i="14"/>
  <c r="J377" i="14"/>
  <c r="K393" i="14"/>
  <c r="K20" i="14"/>
  <c r="J55" i="14"/>
  <c r="J65" i="14"/>
  <c r="J93" i="14"/>
  <c r="J118" i="14"/>
  <c r="J141" i="14"/>
  <c r="J203" i="14"/>
  <c r="J236" i="14"/>
  <c r="J243" i="14"/>
  <c r="J316" i="14"/>
  <c r="J341" i="14"/>
  <c r="J380" i="14"/>
  <c r="G32" i="14"/>
  <c r="J75" i="14"/>
  <c r="K83" i="14"/>
  <c r="K98" i="14"/>
  <c r="K122" i="14"/>
  <c r="K143" i="14"/>
  <c r="K156" i="14"/>
  <c r="K201" i="14"/>
  <c r="K208" i="14"/>
  <c r="J214" i="14"/>
  <c r="K226" i="14"/>
  <c r="K257" i="14"/>
  <c r="J268" i="14"/>
  <c r="J272" i="14"/>
  <c r="J331" i="14"/>
  <c r="K343" i="14"/>
  <c r="K347" i="14"/>
  <c r="K90" i="14"/>
  <c r="K175" i="14"/>
  <c r="K188" i="14"/>
  <c r="J226" i="14"/>
  <c r="K231" i="14"/>
  <c r="K283" i="14"/>
  <c r="K40" i="14"/>
  <c r="K46" i="14"/>
  <c r="K55" i="14"/>
  <c r="K65" i="14"/>
  <c r="J270" i="14"/>
  <c r="K316" i="14"/>
  <c r="K326" i="14"/>
  <c r="K341" i="14"/>
  <c r="K380" i="14"/>
  <c r="J393" i="14"/>
  <c r="J389" i="14"/>
  <c r="J372" i="14"/>
  <c r="J362" i="14"/>
  <c r="J333" i="14"/>
  <c r="J319" i="14"/>
  <c r="J283" i="14"/>
  <c r="J257" i="14"/>
  <c r="J231" i="14"/>
  <c r="J160" i="14"/>
  <c r="J147" i="14"/>
  <c r="J87" i="14"/>
  <c r="J60" i="14"/>
  <c r="J52" i="14"/>
  <c r="J33" i="14"/>
  <c r="J24" i="14"/>
  <c r="I40" i="13"/>
  <c r="I29" i="13"/>
  <c r="J29" i="13"/>
  <c r="J35" i="13"/>
  <c r="I70" i="13"/>
  <c r="I79" i="13"/>
  <c r="I82" i="13"/>
  <c r="J70" i="13"/>
  <c r="F45" i="13"/>
  <c r="I57" i="13"/>
  <c r="I65" i="13"/>
  <c r="J20" i="14"/>
  <c r="K24" i="14"/>
  <c r="J40" i="14"/>
  <c r="J46" i="14"/>
  <c r="J19" i="14"/>
  <c r="J25" i="14"/>
  <c r="G214" i="14"/>
  <c r="G225" i="14"/>
  <c r="G256" i="14"/>
  <c r="G241" i="14" s="1"/>
  <c r="G371" i="14"/>
  <c r="G392" i="14"/>
  <c r="H159" i="9" s="1"/>
  <c r="J178" i="14"/>
  <c r="J193" i="14"/>
  <c r="J201" i="14"/>
  <c r="I18" i="13"/>
  <c r="I26" i="13"/>
  <c r="I32" i="13"/>
  <c r="I46" i="13"/>
  <c r="I49" i="13"/>
  <c r="J18" i="13"/>
  <c r="J40" i="13"/>
  <c r="J46" i="13"/>
  <c r="J57" i="13"/>
  <c r="J65" i="13"/>
  <c r="J79" i="13"/>
  <c r="I35" i="13"/>
  <c r="F56" i="13"/>
  <c r="E17" i="18" l="1"/>
  <c r="E21" i="18"/>
  <c r="E11" i="18"/>
  <c r="H127" i="9"/>
  <c r="H145" i="9"/>
  <c r="E26" i="18"/>
  <c r="H140" i="9"/>
  <c r="H158" i="9"/>
  <c r="H130" i="9"/>
  <c r="H117" i="9"/>
  <c r="H75" i="9"/>
  <c r="H82" i="9"/>
  <c r="F94" i="13"/>
  <c r="F93" i="13" s="1"/>
  <c r="F10" i="13"/>
  <c r="E33" i="16" s="1"/>
  <c r="K230" i="14"/>
  <c r="E43" i="20"/>
  <c r="I14" i="20"/>
  <c r="D80" i="20"/>
  <c r="I80" i="20" s="1"/>
  <c r="I82" i="20"/>
  <c r="D43" i="20"/>
  <c r="I43" i="20" s="1"/>
  <c r="I44" i="20"/>
  <c r="D33" i="20"/>
  <c r="I33" i="20" s="1"/>
  <c r="I39" i="20"/>
  <c r="E33" i="20"/>
  <c r="G14" i="14"/>
  <c r="E45" i="16" s="1"/>
  <c r="F16" i="13"/>
  <c r="F7" i="13" s="1"/>
  <c r="I81" i="13"/>
  <c r="H62" i="9"/>
  <c r="L64" i="9"/>
  <c r="L43" i="9"/>
  <c r="G18" i="14"/>
  <c r="K18" i="14" s="1"/>
  <c r="G213" i="14"/>
  <c r="F62" i="9"/>
  <c r="F10" i="9" s="1"/>
  <c r="K53" i="9"/>
  <c r="K34" i="9"/>
  <c r="I17" i="13"/>
  <c r="I34" i="13"/>
  <c r="J17" i="13"/>
  <c r="J45" i="13"/>
  <c r="G345" i="14"/>
  <c r="G338" i="14" s="1"/>
  <c r="G221" i="14"/>
  <c r="J18" i="14"/>
  <c r="K392" i="14"/>
  <c r="G421" i="14"/>
  <c r="G402" i="14" s="1"/>
  <c r="G11" i="14" s="1"/>
  <c r="E44" i="16" s="1"/>
  <c r="J32" i="14"/>
  <c r="G44" i="14"/>
  <c r="J371" i="14"/>
  <c r="K32" i="14"/>
  <c r="K256" i="14"/>
  <c r="I45" i="13"/>
  <c r="J34" i="13"/>
  <c r="K242" i="14"/>
  <c r="J242" i="14"/>
  <c r="K92" i="14"/>
  <c r="J92" i="14"/>
  <c r="K371" i="14"/>
  <c r="K346" i="14"/>
  <c r="J346" i="14"/>
  <c r="K222" i="14"/>
  <c r="J222" i="14"/>
  <c r="K64" i="14"/>
  <c r="J64" i="14"/>
  <c r="K340" i="14"/>
  <c r="J340" i="14"/>
  <c r="J213" i="14"/>
  <c r="K45" i="14"/>
  <c r="J45" i="14"/>
  <c r="K225" i="14"/>
  <c r="K214" i="14"/>
  <c r="K177" i="14"/>
  <c r="J177" i="14"/>
  <c r="J78" i="13"/>
  <c r="J56" i="13"/>
  <c r="I56" i="13"/>
  <c r="J81" i="13"/>
  <c r="E10" i="18" l="1"/>
  <c r="E32" i="16"/>
  <c r="E31" i="16" s="1"/>
  <c r="F4" i="13"/>
  <c r="H126" i="9"/>
  <c r="H157" i="9"/>
  <c r="H74" i="9"/>
  <c r="F8" i="13"/>
  <c r="E43" i="16"/>
  <c r="F80" i="20"/>
  <c r="F10" i="20" s="1"/>
  <c r="E80" i="20"/>
  <c r="K213" i="14"/>
  <c r="K14" i="14"/>
  <c r="E64" i="20"/>
  <c r="D64" i="20"/>
  <c r="I66" i="20"/>
  <c r="G6" i="14"/>
  <c r="K6" i="14" s="1"/>
  <c r="K11" i="14"/>
  <c r="G13" i="14"/>
  <c r="I78" i="13"/>
  <c r="H11" i="9"/>
  <c r="H10" i="9" s="1"/>
  <c r="G11" i="9"/>
  <c r="G10" i="9" s="1"/>
  <c r="F89" i="13"/>
  <c r="G401" i="14"/>
  <c r="H45" i="16"/>
  <c r="K241" i="14"/>
  <c r="J241" i="14"/>
  <c r="K44" i="14"/>
  <c r="J44" i="14"/>
  <c r="K345" i="14"/>
  <c r="J345" i="14"/>
  <c r="K339" i="14"/>
  <c r="J339" i="14"/>
  <c r="K221" i="14"/>
  <c r="J221" i="14"/>
  <c r="H139" i="9" l="1"/>
  <c r="E35" i="16"/>
  <c r="E34" i="16" s="1"/>
  <c r="F5" i="13"/>
  <c r="H73" i="9"/>
  <c r="E30" i="16"/>
  <c r="F3" i="13"/>
  <c r="K13" i="14"/>
  <c r="E42" i="16"/>
  <c r="E11" i="20"/>
  <c r="D11" i="20"/>
  <c r="I12" i="20"/>
  <c r="I64" i="20"/>
  <c r="J9" i="14"/>
  <c r="K338" i="14"/>
  <c r="J338" i="14"/>
  <c r="H72" i="9" l="1"/>
  <c r="I11" i="20"/>
  <c r="D10" i="20"/>
  <c r="I10" i="20" s="1"/>
  <c r="E10" i="20"/>
  <c r="J5" i="14"/>
  <c r="J4" i="14"/>
  <c r="N56" i="10" l="1"/>
  <c r="O56" i="10"/>
  <c r="P56" i="10"/>
  <c r="S56" i="10" s="1"/>
  <c r="L56" i="10"/>
  <c r="Q56" i="10" l="1"/>
  <c r="M56" i="10"/>
  <c r="R56" i="10" s="1"/>
  <c r="M66" i="10" l="1"/>
  <c r="O66" i="10"/>
  <c r="P66" i="10"/>
  <c r="N66" i="10"/>
  <c r="L66" i="10"/>
  <c r="L65" i="10" s="1"/>
  <c r="Q66" i="10" l="1"/>
  <c r="R66" i="10"/>
  <c r="M65" i="10"/>
  <c r="P65" i="10"/>
  <c r="N65" i="10"/>
  <c r="O65" i="10"/>
  <c r="R65" i="10" l="1"/>
  <c r="Q65" i="10"/>
  <c r="K63" i="9" l="1"/>
  <c r="K52" i="9"/>
  <c r="K42" i="9"/>
  <c r="K33" i="9"/>
  <c r="K26" i="9"/>
  <c r="K11" i="9" l="1"/>
  <c r="K62" i="9"/>
  <c r="K10" i="9" l="1"/>
  <c r="O19" i="10" l="1"/>
  <c r="P19" i="10"/>
  <c r="O17" i="10"/>
  <c r="P17" i="10"/>
  <c r="O375" i="10"/>
  <c r="P375" i="10"/>
  <c r="O309" i="10"/>
  <c r="P309" i="10"/>
  <c r="S309" i="10" s="1"/>
  <c r="O62" i="10"/>
  <c r="P62" i="10"/>
  <c r="Q19" i="10" l="1"/>
  <c r="O14" i="10"/>
  <c r="P14" i="10"/>
  <c r="O61" i="10"/>
  <c r="P61" i="10"/>
  <c r="F29" i="21"/>
  <c r="P308" i="10"/>
  <c r="S308" i="10" s="1"/>
  <c r="O308" i="10"/>
  <c r="O306" i="10" s="1"/>
  <c r="F32" i="21" s="1"/>
  <c r="G29" i="21" l="1"/>
  <c r="P306" i="10"/>
  <c r="S306" i="10" s="1"/>
  <c r="G32" i="21" l="1"/>
  <c r="J32" i="21" s="1"/>
  <c r="O351" i="10"/>
  <c r="P351" i="10"/>
  <c r="O349" i="10"/>
  <c r="P349" i="10"/>
  <c r="O255" i="10"/>
  <c r="P255" i="10"/>
  <c r="O250" i="10"/>
  <c r="P250" i="10"/>
  <c r="O157" i="10"/>
  <c r="O155" i="10" s="1"/>
  <c r="P157" i="10"/>
  <c r="O205" i="10"/>
  <c r="P205" i="10"/>
  <c r="O199" i="10"/>
  <c r="P199" i="10"/>
  <c r="O117" i="10"/>
  <c r="P117" i="10"/>
  <c r="O98" i="10"/>
  <c r="P98" i="10"/>
  <c r="O90" i="10"/>
  <c r="P90" i="10"/>
  <c r="O54" i="10"/>
  <c r="P54" i="10"/>
  <c r="O34" i="10"/>
  <c r="P34" i="10"/>
  <c r="O28" i="10"/>
  <c r="P28" i="10"/>
  <c r="O23" i="10"/>
  <c r="P23" i="10"/>
  <c r="P155" i="10" l="1"/>
  <c r="G21" i="21" s="1"/>
  <c r="F21" i="21"/>
  <c r="O22" i="10"/>
  <c r="O13" i="10" s="1"/>
  <c r="O11" i="10" s="1"/>
  <c r="P22" i="10"/>
  <c r="R90" i="10"/>
  <c r="O249" i="10"/>
  <c r="O248" i="10" s="1"/>
  <c r="P249" i="10"/>
  <c r="P286" i="10"/>
  <c r="P96" i="10"/>
  <c r="G18" i="21" s="1"/>
  <c r="P198" i="10"/>
  <c r="O286" i="10"/>
  <c r="O96" i="10"/>
  <c r="F18" i="21" s="1"/>
  <c r="O198" i="10"/>
  <c r="O192" i="10" s="1"/>
  <c r="O89" i="10"/>
  <c r="O87" i="10" s="1"/>
  <c r="P89" i="10"/>
  <c r="O228" i="10"/>
  <c r="F28" i="21" s="1"/>
  <c r="P204" i="10"/>
  <c r="O204" i="10"/>
  <c r="M19" i="10"/>
  <c r="R19" i="10" s="1"/>
  <c r="N19" i="10"/>
  <c r="P116" i="10"/>
  <c r="P345" i="10"/>
  <c r="O345" i="10"/>
  <c r="O344" i="10" s="1"/>
  <c r="O342" i="10" s="1"/>
  <c r="O116" i="10"/>
  <c r="L52" i="9"/>
  <c r="L54" i="10"/>
  <c r="Q54" i="10" s="1"/>
  <c r="L255" i="10"/>
  <c r="Q255" i="10" s="1"/>
  <c r="M255" i="10"/>
  <c r="R255" i="10" s="1"/>
  <c r="L250" i="10"/>
  <c r="Q250" i="10" s="1"/>
  <c r="M250" i="10"/>
  <c r="R250" i="10" s="1"/>
  <c r="L15" i="10"/>
  <c r="Q15" i="10" s="1"/>
  <c r="L17" i="10"/>
  <c r="Q17" i="10" s="1"/>
  <c r="M17" i="10"/>
  <c r="R17" i="10" s="1"/>
  <c r="L117" i="10"/>
  <c r="Q117" i="10" s="1"/>
  <c r="L199" i="10"/>
  <c r="L198" i="10" s="1"/>
  <c r="L192" i="10" s="1"/>
  <c r="L205" i="10"/>
  <c r="L204" i="10" s="1"/>
  <c r="L202" i="10" s="1"/>
  <c r="C25" i="21" s="1"/>
  <c r="L349" i="10"/>
  <c r="Q349" i="10" s="1"/>
  <c r="L351" i="10"/>
  <c r="Q351" i="10" s="1"/>
  <c r="L375" i="10"/>
  <c r="Q375" i="10" s="1"/>
  <c r="M375" i="10"/>
  <c r="R375" i="10" s="1"/>
  <c r="L164" i="10"/>
  <c r="L62" i="10"/>
  <c r="M62" i="10"/>
  <c r="R62" i="10" s="1"/>
  <c r="N375" i="10"/>
  <c r="N62" i="10"/>
  <c r="P192" i="10" l="1"/>
  <c r="P344" i="10"/>
  <c r="P342" i="10" s="1"/>
  <c r="P87" i="10"/>
  <c r="G17" i="21" s="1"/>
  <c r="O246" i="10"/>
  <c r="F30" i="21" s="1"/>
  <c r="F15" i="21"/>
  <c r="Q205" i="10"/>
  <c r="L61" i="10"/>
  <c r="Q61" i="10" s="1"/>
  <c r="Q62" i="10"/>
  <c r="Q199" i="10"/>
  <c r="L160" i="10"/>
  <c r="Q160" i="10" s="1"/>
  <c r="Q164" i="10"/>
  <c r="Q204" i="10"/>
  <c r="Q198" i="10"/>
  <c r="P13" i="10"/>
  <c r="S13" i="10" s="1"/>
  <c r="P248" i="10"/>
  <c r="P228" i="10"/>
  <c r="M14" i="10"/>
  <c r="R14" i="10" s="1"/>
  <c r="C24" i="21"/>
  <c r="F24" i="21"/>
  <c r="L249" i="10"/>
  <c r="L248" i="10" s="1"/>
  <c r="M249" i="10"/>
  <c r="M248" i="10" s="1"/>
  <c r="P115" i="10"/>
  <c r="P202" i="10"/>
  <c r="N61" i="10"/>
  <c r="O115" i="10"/>
  <c r="O113" i="10" s="1"/>
  <c r="F19" i="21" s="1"/>
  <c r="O202" i="10"/>
  <c r="F25" i="21" s="1"/>
  <c r="F31" i="21"/>
  <c r="M61" i="10"/>
  <c r="R61" i="10" s="1"/>
  <c r="F17" i="21"/>
  <c r="N309" i="10"/>
  <c r="L98" i="10"/>
  <c r="M309" i="10"/>
  <c r="R309" i="10" s="1"/>
  <c r="L309" i="10"/>
  <c r="N205" i="10"/>
  <c r="M205" i="10"/>
  <c r="R205" i="10" s="1"/>
  <c r="N199" i="10"/>
  <c r="N54" i="10"/>
  <c r="M349" i="10"/>
  <c r="R349" i="10" s="1"/>
  <c r="M157" i="10"/>
  <c r="M155" i="10" s="1"/>
  <c r="M54" i="10"/>
  <c r="R54" i="10" s="1"/>
  <c r="N250" i="10"/>
  <c r="N157" i="10"/>
  <c r="N155" i="10" s="1"/>
  <c r="M199" i="10"/>
  <c r="R199" i="10" s="1"/>
  <c r="N351" i="10"/>
  <c r="N349" i="10"/>
  <c r="M351" i="10"/>
  <c r="R351" i="10" s="1"/>
  <c r="M117" i="10"/>
  <c r="R117" i="10" s="1"/>
  <c r="N117" i="10"/>
  <c r="M23" i="10"/>
  <c r="N255" i="10"/>
  <c r="L345" i="10"/>
  <c r="L90" i="10"/>
  <c r="Q90" i="10" s="1"/>
  <c r="L116" i="10"/>
  <c r="L115" i="10" s="1"/>
  <c r="M34" i="10"/>
  <c r="R34" i="10" s="1"/>
  <c r="Q372" i="10"/>
  <c r="L28" i="10"/>
  <c r="Q28" i="10" s="1"/>
  <c r="R372" i="10"/>
  <c r="M28" i="10"/>
  <c r="R28" i="10" s="1"/>
  <c r="L34" i="10"/>
  <c r="Q34" i="10" s="1"/>
  <c r="L23" i="10"/>
  <c r="P11" i="10" l="1"/>
  <c r="S11" i="10" s="1"/>
  <c r="O10" i="10"/>
  <c r="Q345" i="10"/>
  <c r="L344" i="10"/>
  <c r="L342" i="10" s="1"/>
  <c r="P246" i="10"/>
  <c r="P113" i="10"/>
  <c r="G19" i="21" s="1"/>
  <c r="R23" i="10"/>
  <c r="M22" i="10"/>
  <c r="Q23" i="10"/>
  <c r="L22" i="10"/>
  <c r="Q22" i="10" s="1"/>
  <c r="L286" i="10"/>
  <c r="C31" i="21" s="1"/>
  <c r="L113" i="10"/>
  <c r="C19" i="21" s="1"/>
  <c r="L246" i="10"/>
  <c r="C30" i="21" s="1"/>
  <c r="M246" i="10"/>
  <c r="D30" i="21" s="1"/>
  <c r="Q249" i="10"/>
  <c r="G24" i="21"/>
  <c r="Q192" i="10"/>
  <c r="Q298" i="10"/>
  <c r="L96" i="10"/>
  <c r="C18" i="21" s="1"/>
  <c r="Q98" i="10"/>
  <c r="R249" i="10"/>
  <c r="L308" i="10"/>
  <c r="Q309" i="10"/>
  <c r="G31" i="21"/>
  <c r="G25" i="21"/>
  <c r="Q202" i="10"/>
  <c r="R157" i="10"/>
  <c r="Q116" i="10"/>
  <c r="Q115" i="10"/>
  <c r="Q248" i="10"/>
  <c r="R248" i="10"/>
  <c r="P341" i="10"/>
  <c r="G28" i="21"/>
  <c r="L228" i="10"/>
  <c r="Q230" i="10"/>
  <c r="L218" i="10"/>
  <c r="L216" i="10" s="1"/>
  <c r="Q219" i="10"/>
  <c r="O341" i="10"/>
  <c r="F37" i="21"/>
  <c r="N249" i="10"/>
  <c r="M308" i="10"/>
  <c r="L89" i="10"/>
  <c r="L14" i="10"/>
  <c r="Q14" i="10" s="1"/>
  <c r="N308" i="10"/>
  <c r="N17" i="10"/>
  <c r="R353" i="10"/>
  <c r="N345" i="10"/>
  <c r="M345" i="10"/>
  <c r="N98" i="10"/>
  <c r="N89" i="10"/>
  <c r="M116" i="10"/>
  <c r="R116" i="10" s="1"/>
  <c r="N198" i="10"/>
  <c r="N192" i="10" s="1"/>
  <c r="M204" i="10"/>
  <c r="R204" i="10" s="1"/>
  <c r="N204" i="10"/>
  <c r="M89" i="10"/>
  <c r="M87" i="10" s="1"/>
  <c r="N116" i="10"/>
  <c r="M98" i="10"/>
  <c r="R98" i="10" s="1"/>
  <c r="M198" i="10"/>
  <c r="M192" i="10" s="1"/>
  <c r="P10" i="10" l="1"/>
  <c r="N344" i="10"/>
  <c r="N342" i="10" s="1"/>
  <c r="R345" i="10"/>
  <c r="M344" i="10"/>
  <c r="M342" i="10" s="1"/>
  <c r="R198" i="10"/>
  <c r="H19" i="21"/>
  <c r="G15" i="21"/>
  <c r="J15" i="21" s="1"/>
  <c r="H24" i="21"/>
  <c r="H25" i="21"/>
  <c r="O9" i="10"/>
  <c r="O8" i="10" s="1"/>
  <c r="N87" i="10"/>
  <c r="E17" i="21" s="1"/>
  <c r="Q89" i="10"/>
  <c r="L87" i="10"/>
  <c r="C17" i="21" s="1"/>
  <c r="H17" i="21" s="1"/>
  <c r="Q286" i="10"/>
  <c r="R298" i="10"/>
  <c r="M286" i="10"/>
  <c r="R286" i="10" s="1"/>
  <c r="N286" i="10"/>
  <c r="H31" i="21"/>
  <c r="M306" i="10"/>
  <c r="R308" i="10"/>
  <c r="M13" i="10"/>
  <c r="M11" i="10" s="1"/>
  <c r="R22" i="10"/>
  <c r="G37" i="21"/>
  <c r="N306" i="10"/>
  <c r="R240" i="10"/>
  <c r="E21" i="21"/>
  <c r="D21" i="21"/>
  <c r="I21" i="21" s="1"/>
  <c r="R155" i="10"/>
  <c r="Q96" i="10"/>
  <c r="D17" i="21"/>
  <c r="R89" i="10"/>
  <c r="L306" i="10"/>
  <c r="Q308" i="10"/>
  <c r="Q344" i="10"/>
  <c r="Q353" i="10"/>
  <c r="N14" i="10"/>
  <c r="N248" i="10"/>
  <c r="N246" i="10" s="1"/>
  <c r="Q113" i="10"/>
  <c r="G30" i="21"/>
  <c r="R246" i="10"/>
  <c r="Q246" i="10"/>
  <c r="N228" i="10"/>
  <c r="M228" i="10"/>
  <c r="R228" i="10" s="1"/>
  <c r="R230" i="10"/>
  <c r="C28" i="21"/>
  <c r="H28" i="21" s="1"/>
  <c r="Q228" i="10"/>
  <c r="Q218" i="10"/>
  <c r="F14" i="21"/>
  <c r="H18" i="21"/>
  <c r="F36" i="21"/>
  <c r="L13" i="10"/>
  <c r="L11" i="10" s="1"/>
  <c r="N202" i="10"/>
  <c r="N96" i="10"/>
  <c r="E18" i="21" s="1"/>
  <c r="M96" i="10"/>
  <c r="M202" i="10"/>
  <c r="R202" i="10" s="1"/>
  <c r="N115" i="10"/>
  <c r="M115" i="10"/>
  <c r="P9" i="10" l="1"/>
  <c r="S9" i="10" s="1"/>
  <c r="S10" i="10"/>
  <c r="G36" i="21"/>
  <c r="F13" i="21"/>
  <c r="F12" i="21" s="1"/>
  <c r="R96" i="10"/>
  <c r="D18" i="21"/>
  <c r="R115" i="10"/>
  <c r="M113" i="10"/>
  <c r="M10" i="10" s="1"/>
  <c r="N113" i="10"/>
  <c r="E19" i="21" s="1"/>
  <c r="R13" i="10"/>
  <c r="C32" i="21"/>
  <c r="H32" i="21" s="1"/>
  <c r="Q306" i="10"/>
  <c r="I16" i="21"/>
  <c r="R87" i="10"/>
  <c r="D24" i="21"/>
  <c r="I24" i="21" s="1"/>
  <c r="R192" i="10"/>
  <c r="D32" i="21"/>
  <c r="I32" i="21" s="1"/>
  <c r="R306" i="10"/>
  <c r="Q13" i="10"/>
  <c r="E24" i="21"/>
  <c r="E29" i="21"/>
  <c r="E32" i="21"/>
  <c r="D29" i="21"/>
  <c r="I29" i="21" s="1"/>
  <c r="E25" i="21"/>
  <c r="H16" i="21"/>
  <c r="Q87" i="10"/>
  <c r="E31" i="21"/>
  <c r="R342" i="10"/>
  <c r="R344" i="10"/>
  <c r="C29" i="21"/>
  <c r="H29" i="21" s="1"/>
  <c r="Q240" i="10"/>
  <c r="I30" i="21"/>
  <c r="H30" i="21"/>
  <c r="D15" i="21"/>
  <c r="I15" i="21" s="1"/>
  <c r="R11" i="10"/>
  <c r="D28" i="21"/>
  <c r="I28" i="21" s="1"/>
  <c r="E28" i="21"/>
  <c r="C27" i="21"/>
  <c r="H27" i="21" s="1"/>
  <c r="Q216" i="10"/>
  <c r="G14" i="21"/>
  <c r="J14" i="21" s="1"/>
  <c r="D25" i="21"/>
  <c r="I25" i="21" s="1"/>
  <c r="I17" i="21"/>
  <c r="D31" i="21"/>
  <c r="I31" i="21" s="1"/>
  <c r="G13" i="21" l="1"/>
  <c r="J13" i="21" s="1"/>
  <c r="R113" i="10"/>
  <c r="D19" i="21"/>
  <c r="I19" i="21" s="1"/>
  <c r="M341" i="10"/>
  <c r="R341" i="10" s="1"/>
  <c r="E30" i="21"/>
  <c r="C15" i="21"/>
  <c r="Q11" i="10"/>
  <c r="C37" i="21"/>
  <c r="Q342" i="10"/>
  <c r="L341" i="10"/>
  <c r="Q341" i="10" s="1"/>
  <c r="E37" i="21"/>
  <c r="D37" i="21"/>
  <c r="I37" i="21" s="1"/>
  <c r="N341" i="10"/>
  <c r="P8" i="10"/>
  <c r="S8" i="10" s="1"/>
  <c r="G12" i="21" l="1"/>
  <c r="J12" i="21" s="1"/>
  <c r="M9" i="10"/>
  <c r="H15" i="21"/>
  <c r="D36" i="21"/>
  <c r="I36" i="21" s="1"/>
  <c r="E36" i="21"/>
  <c r="C36" i="21"/>
  <c r="H36" i="21" s="1"/>
  <c r="H37" i="21"/>
  <c r="R10" i="10"/>
  <c r="D14" i="21"/>
  <c r="I18" i="21"/>
  <c r="L157" i="10"/>
  <c r="L155" i="10" s="1"/>
  <c r="L10" i="10" s="1"/>
  <c r="Q157" i="10" l="1"/>
  <c r="I14" i="21"/>
  <c r="D13" i="21"/>
  <c r="I13" i="21" s="1"/>
  <c r="M8" i="10"/>
  <c r="R8" i="10" s="1"/>
  <c r="R9" i="10"/>
  <c r="N34" i="10"/>
  <c r="N28" i="10"/>
  <c r="N22" i="10" l="1"/>
  <c r="D12" i="21"/>
  <c r="I12" i="21" s="1"/>
  <c r="N13" i="10" l="1"/>
  <c r="N11" i="10" s="1"/>
  <c r="N10" i="10" l="1"/>
  <c r="N9" i="10" s="1"/>
  <c r="E15" i="21"/>
  <c r="E14" i="21" l="1"/>
  <c r="E13" i="21" s="1"/>
  <c r="L26" i="9"/>
  <c r="L33" i="9"/>
  <c r="L63" i="9"/>
  <c r="L42" i="9"/>
  <c r="L12" i="9"/>
  <c r="N8" i="10" l="1"/>
  <c r="L11" i="9"/>
  <c r="E12" i="21" l="1"/>
  <c r="L62" i="9"/>
  <c r="L10" i="9" l="1"/>
  <c r="D267" i="14" l="1"/>
  <c r="D266" i="14" s="1"/>
  <c r="D17" i="14" s="1"/>
  <c r="D9" i="14" s="1"/>
  <c r="D5" i="14" s="1"/>
  <c r="D4" i="14" s="1"/>
  <c r="J328" i="14"/>
  <c r="K328" i="14"/>
  <c r="J267" i="14"/>
  <c r="J266" i="14"/>
  <c r="K267" i="14"/>
  <c r="K266" i="14" l="1"/>
  <c r="G17" i="14"/>
  <c r="G9" i="14" l="1"/>
  <c r="J17" i="14"/>
  <c r="K17" i="14"/>
  <c r="E41" i="16" l="1"/>
  <c r="E40" i="16" s="1"/>
  <c r="E39" i="16" s="1"/>
  <c r="G8" i="14"/>
  <c r="G5" i="14"/>
  <c r="K9" i="14"/>
  <c r="K5" i="14" l="1"/>
  <c r="G4" i="14"/>
  <c r="K4" i="14" s="1"/>
  <c r="Q155" i="10" l="1"/>
  <c r="C21" i="21"/>
  <c r="H21" i="21" l="1"/>
  <c r="C14" i="21"/>
  <c r="Q10" i="10"/>
  <c r="H14" i="21" l="1"/>
  <c r="Q399" i="10" l="1"/>
  <c r="Q398" i="10"/>
  <c r="Q391" i="10" l="1"/>
  <c r="Q381" i="10" l="1"/>
  <c r="L379" i="10"/>
  <c r="L378" i="10" l="1"/>
  <c r="C39" i="21" s="1"/>
  <c r="Q379" i="10"/>
  <c r="C38" i="21" l="1"/>
  <c r="C13" i="21" s="1"/>
  <c r="H39" i="21"/>
  <c r="H38" i="21" s="1"/>
  <c r="Q378" i="10"/>
  <c r="L9" i="10"/>
  <c r="C12" i="21" l="1"/>
  <c r="H12" i="21" s="1"/>
  <c r="H13" i="21"/>
  <c r="Q9" i="10"/>
  <c r="L8" i="10"/>
  <c r="Q8" i="10" s="1"/>
  <c r="I242" i="14"/>
  <c r="I241" i="14" s="1"/>
  <c r="I17" i="14" s="1"/>
  <c r="I9" i="14" s="1"/>
  <c r="I8" i="14" s="1"/>
  <c r="I5" i="14" l="1"/>
  <c r="I4" i="14" s="1"/>
  <c r="G41" i="16"/>
  <c r="J41" i="16" l="1"/>
  <c r="I41" i="16"/>
  <c r="H41" i="16"/>
  <c r="G40" i="16"/>
  <c r="G39" i="16" s="1"/>
  <c r="J40" i="16" l="1"/>
  <c r="I40" i="16"/>
  <c r="H40" i="16"/>
  <c r="J39" i="16" l="1"/>
  <c r="I39" i="16"/>
  <c r="H39" i="16"/>
</calcChain>
</file>

<file path=xl/sharedStrings.xml><?xml version="1.0" encoding="utf-8"?>
<sst xmlns="http://schemas.openxmlformats.org/spreadsheetml/2006/main" count="3263" uniqueCount="1129">
  <si>
    <t>Rashodi za zaposlene</t>
  </si>
  <si>
    <t>Naknade troškova zaposlenima</t>
  </si>
  <si>
    <t>Rashodi za usluge</t>
  </si>
  <si>
    <t>Materijalni rashodi</t>
  </si>
  <si>
    <t>Ostali rashodi za zaposlene</t>
  </si>
  <si>
    <t>Plaće</t>
  </si>
  <si>
    <t>Rashodi za materijal i energiju</t>
  </si>
  <si>
    <t>Ostali nespomenuti rashodi poslovanja</t>
  </si>
  <si>
    <t>Financijski rashodi</t>
  </si>
  <si>
    <t>Ostali financijski rashodi</t>
  </si>
  <si>
    <t>Tekuće donacije</t>
  </si>
  <si>
    <t>Rashodi za nabavu nefinancijske imovine</t>
  </si>
  <si>
    <t>Građevinski objekti</t>
  </si>
  <si>
    <t>Prihodi poslovanja</t>
  </si>
  <si>
    <t>Prihodi od poreza</t>
  </si>
  <si>
    <t>Potpore</t>
  </si>
  <si>
    <t>Prihodi od imovine</t>
  </si>
  <si>
    <t>Prihodi od prodaje nefinancijske imovine</t>
  </si>
  <si>
    <t>Prihodi od prodaje neproizvedene dugotrajne imovine</t>
  </si>
  <si>
    <t>Prihodi od prodaje proizvedene dugotrajne imovine</t>
  </si>
  <si>
    <t>Rashodi poslovanja</t>
  </si>
  <si>
    <t>Naknade građanima i kućanstvima u novcu</t>
  </si>
  <si>
    <t>Donacije i ostali rashodi</t>
  </si>
  <si>
    <t>Rashodi za nabavu proizvedene dugotrajne imovine</t>
  </si>
  <si>
    <t>Porez i prirez na dohodak</t>
  </si>
  <si>
    <t>Porezi na imovinu</t>
  </si>
  <si>
    <t>Porezi na robu i usluge</t>
  </si>
  <si>
    <t>Potpore iz proračuna</t>
  </si>
  <si>
    <t>Prihodi od financijske imovine</t>
  </si>
  <si>
    <t>Prihodi od nefinancijske imovine</t>
  </si>
  <si>
    <t>Prihodi administrativnih pristojbi i po posebnim propisima</t>
  </si>
  <si>
    <t>Administrativne (upravne) pristojbe</t>
  </si>
  <si>
    <t>Prihodi po posebnim propisima</t>
  </si>
  <si>
    <t>Prihodi od prodaje materijalne imovine - prirodnih bogatstava</t>
  </si>
  <si>
    <t>VRSTA PRIHODA/RASHODA</t>
  </si>
  <si>
    <t>Prihodi od prodaje građevinskih objekata</t>
  </si>
  <si>
    <t>Doprinosi na plaće</t>
  </si>
  <si>
    <t>UKUPNO RASHODI/IZDACI</t>
  </si>
  <si>
    <t>Subvencije trgovačkim društvima</t>
  </si>
  <si>
    <t>Rashodi  za nabavu neproizv.</t>
  </si>
  <si>
    <t>Zemljište</t>
  </si>
  <si>
    <t>Licence</t>
  </si>
  <si>
    <t>Postrojenja i oprema</t>
  </si>
  <si>
    <t>Knjige i umjetnička djela</t>
  </si>
  <si>
    <t>Rashodi za nabavu ne proizvedene dugotrajne imovine</t>
  </si>
  <si>
    <t>Ostali neraspoređeni prihodi od poreza</t>
  </si>
  <si>
    <t>Pomoći od ostalih subjekata unutar općeg proračuna</t>
  </si>
  <si>
    <t>Prihodi od prodaje roba i pruženih usluga</t>
  </si>
  <si>
    <t>Prihodi od pruženih usluga</t>
  </si>
  <si>
    <t>Crveni križ Vinkovci</t>
  </si>
  <si>
    <t>Sufinanciranje cijene prijevoza</t>
  </si>
  <si>
    <t>Pomoć obiteljima za ogrjev</t>
  </si>
  <si>
    <t>Tekuće donacije vjerskim zajednicama</t>
  </si>
  <si>
    <t>Izgradnja cesta</t>
  </si>
  <si>
    <t>Zdravstvene i veterinarske usluge</t>
  </si>
  <si>
    <t>Komunalne usluge</t>
  </si>
  <si>
    <t>Tekuće i investicijsko održavanje javnih površina</t>
  </si>
  <si>
    <t>Usluge tekućeg i investicijskog održavanja</t>
  </si>
  <si>
    <t>Energija</t>
  </si>
  <si>
    <t xml:space="preserve">Materijalni rashodi </t>
  </si>
  <si>
    <t>Ulaganja u računalne programe</t>
  </si>
  <si>
    <t>Bankarske usluge i usluge platnog prometa</t>
  </si>
  <si>
    <t>Reprezentacija</t>
  </si>
  <si>
    <t>Premije osiguranja</t>
  </si>
  <si>
    <t>Ostale usluge</t>
  </si>
  <si>
    <t>Računalne usluge</t>
  </si>
  <si>
    <t>Intelektualne i osobne usluge</t>
  </si>
  <si>
    <t>Usluge promidžbe i informiranja</t>
  </si>
  <si>
    <t>Usluge telefona, pošte i prijevoza</t>
  </si>
  <si>
    <t>Uredski materijal i ostali materijalni rashodi</t>
  </si>
  <si>
    <t>Službena putovanja</t>
  </si>
  <si>
    <t>Doprinosi za zdravstveno osiguranje</t>
  </si>
  <si>
    <t>Plaće za redovan rad</t>
  </si>
  <si>
    <t>Naknade za rad predstavničkih i izvršnih tijela, povjerenstava</t>
  </si>
  <si>
    <t>Doprinosi za mirovinsko osiguranje</t>
  </si>
  <si>
    <t>Stručno usavršavanje zaposlenih</t>
  </si>
  <si>
    <t>Službena, radna i zaštitna odjeća i obuća</t>
  </si>
  <si>
    <t>Zakupnine i najamnine</t>
  </si>
  <si>
    <t>Pristojbe i naknade</t>
  </si>
  <si>
    <t>Subvencije</t>
  </si>
  <si>
    <t>Subvencije trgovačkim društvima, poljoprivrednicima i obrtnicima</t>
  </si>
  <si>
    <t>Kupnja građevinskog zemljišta</t>
  </si>
  <si>
    <t>Iznošenje i odvoz smeća</t>
  </si>
  <si>
    <t>Sadnja i održavanje cvijeća i sadnica</t>
  </si>
  <si>
    <t>Održavanje drvoreda</t>
  </si>
  <si>
    <t>Deratizacija i dezinsekcija</t>
  </si>
  <si>
    <t>Izgradnja vodovodne mreže</t>
  </si>
  <si>
    <t>ŠRC Dvorac</t>
  </si>
  <si>
    <t>Tekuće donacije DVD</t>
  </si>
  <si>
    <t>Socijalni paketi</t>
  </si>
  <si>
    <t>Zimska služba</t>
  </si>
  <si>
    <t>Cvjetni i dekorski ukrasi</t>
  </si>
  <si>
    <t>Oprema za održavanje i zaštitu</t>
  </si>
  <si>
    <t>Instrumenti, uređaji i strojevi</t>
  </si>
  <si>
    <t>Knjige</t>
  </si>
  <si>
    <t>Materijal i dijelovi za tekuće i investicijsko održavanje</t>
  </si>
  <si>
    <t>tekuće održavanje građ. Objekata</t>
  </si>
  <si>
    <t>Zgrada Općine</t>
  </si>
  <si>
    <t>Betoniranje staza</t>
  </si>
  <si>
    <t>Održavanje nerazvrstanih cesta</t>
  </si>
  <si>
    <t>Tekuće održavanje postrojenja i opreme</t>
  </si>
  <si>
    <t>Tekuće održavanje poljskih puteva</t>
  </si>
  <si>
    <t>Tekuće održavanje prijevoznih sredstava</t>
  </si>
  <si>
    <t>Tekuće donacije nacionalnim manjinama</t>
  </si>
  <si>
    <t>Prijevozna sredstva</t>
  </si>
  <si>
    <t>Izdaci za financijsku imovinu i otplate zajmova</t>
  </si>
  <si>
    <t>Vlastiti izvori</t>
  </si>
  <si>
    <t>Višak/manjak prihoda</t>
  </si>
  <si>
    <t>ostale naknade iz proračuna u naravi</t>
  </si>
  <si>
    <t>usluge banaka - HETNET</t>
  </si>
  <si>
    <t>sportske dvorane i rekreacijski objekti – ŠRC Mlačuge</t>
  </si>
  <si>
    <t>Sitni inventar i autogume</t>
  </si>
  <si>
    <t>Doprinosi na plaću</t>
  </si>
  <si>
    <t>REDNI BROJ</t>
  </si>
  <si>
    <t>KONTO</t>
  </si>
  <si>
    <t>OPIS PRIHODA</t>
  </si>
  <si>
    <t>PRIHODI POSLOVANJA</t>
  </si>
  <si>
    <t>PRIHODI OD PRODAJE NEFINANCIJSKE IMOVINE</t>
  </si>
  <si>
    <t>POREZ I PRIREZ NA DOHODAK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</si>
  <si>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</si>
  <si>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</si>
  <si>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</si>
  <si>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</si>
  <si>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</si>
  <si>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>POREZ I PRIREZ NA DOHODAK UTVRĐEN U POSTUPKU NADZORA ZA PRETHODNE GODINE</t>
  </si>
  <si>
    <t>POREZI NA IMOVINU</t>
  </si>
  <si>
    <t>POREZ NA PROMET</t>
  </si>
  <si>
    <t>OSTALI NERASPOREĐENI PRIHODI OD POREZA</t>
  </si>
  <si>
    <t>POMOĆI IZ INOZEMSTVA(DAROVNICE) I OD SUBJEKATA UNUTAR OPĆEG PRORAČUNA</t>
  </si>
  <si>
    <t>POMOĆI IZ PRORAČUNA</t>
  </si>
  <si>
    <t>POMOĆI OD OSTALIH SUBJEKATA UNUTAR OPĆEG PRORAČUNA</t>
  </si>
  <si>
    <t>PRIHODI OD IMOVINE</t>
  </si>
  <si>
    <t>PRIHODI OD FINANCIJSKE IMOVINE</t>
  </si>
  <si>
    <t>PRIHODI OD NEFINANCIJSKE IMOVINE</t>
  </si>
  <si>
    <t>Sredstva viška prihoda prošle godine</t>
  </si>
  <si>
    <t>PRIHODI OD UPRAVNIH I ADMINISTRATIVNIH PRISTOJBI, PRISTOJBI PO POSEBNIM PROPISIMA I NAKNADA</t>
  </si>
  <si>
    <t>UPRAVNE I ADMINISTRATIVNE PRISTOJBE</t>
  </si>
  <si>
    <t>PRIHODI PO POSEBNIM PROPISIMA</t>
  </si>
  <si>
    <t>KOMUNALNI DOPRINOSI I NAKNADE</t>
  </si>
  <si>
    <t>Prihodi od prodaje proizvoda i robe te pruženih usluga</t>
  </si>
  <si>
    <t>PRIHODI OD PRODAJE MATERIJALNE IMOVINE – PRIRODNIH BOGATSTAVA</t>
  </si>
  <si>
    <t>PRIHODI OD PRODAJE PROIZVEDENE DUGOTRAJNE IMOVINE</t>
  </si>
  <si>
    <t>Prihodi od od prodaje građevinskih objekata</t>
  </si>
  <si>
    <t>prodaja ostalih stambenih objekata</t>
  </si>
  <si>
    <t>RASHODI ZA NABAVU NEFINANCIJSKE IMOVINE</t>
  </si>
  <si>
    <t>RASHODI POSLOVANJA</t>
  </si>
  <si>
    <t>RASHODI ZA ZAPOSLENE</t>
  </si>
  <si>
    <t>PLAĆE</t>
  </si>
  <si>
    <t>plaće za zaposlene  - općina</t>
  </si>
  <si>
    <t>plaće za zaposlene – javni radovi 100%</t>
  </si>
  <si>
    <t>OSTALI RASHODI ZA ZAPOSLENE</t>
  </si>
  <si>
    <t>nagrade uposlenima – općina</t>
  </si>
  <si>
    <t>darovi</t>
  </si>
  <si>
    <t>regres za godišnji odmor - općina</t>
  </si>
  <si>
    <t>DOPRINOSI NA PLAĆE</t>
  </si>
  <si>
    <t>DOPRINOS ZA MIROVINSKO OSIGURANJE</t>
  </si>
  <si>
    <t>doprinos za mir. Osig. I stup - općina</t>
  </si>
  <si>
    <t>doprinos za mir. Osig. I stup– javni radovi 100%</t>
  </si>
  <si>
    <t>doprinos za mir. Osig. II stup - općina</t>
  </si>
  <si>
    <t>doprinos za mir. Osig. II stup – javni radovi 100%</t>
  </si>
  <si>
    <t>DOPRINOS ZA ZDRAVSTVENO OSIGURANJE</t>
  </si>
  <si>
    <t>doprinos za obv. Zdrav. Osig. – općina</t>
  </si>
  <si>
    <t>doprinos za obv. Zdrav. Osig. – javni radovi 100%</t>
  </si>
  <si>
    <t>MATERIJALNI RASHODI</t>
  </si>
  <si>
    <t>NAKNADE TROŠKOVA ZAPOSLENIMA</t>
  </si>
  <si>
    <t>SLUŽBENA PUTOVANJA</t>
  </si>
  <si>
    <t>dnevnice za službeni put u zemlji</t>
  </si>
  <si>
    <t>dnevnice za službeni put u inozemstvo</t>
  </si>
  <si>
    <t>naknade za smještaj na služ. Putu u zemlji</t>
  </si>
  <si>
    <t>Naknade za prijevoz na službenom putu</t>
  </si>
  <si>
    <t>Ostali rashodi za službena putovanja</t>
  </si>
  <si>
    <t>Naknade za prijevoz, za rad na terenu i odvojeni život</t>
  </si>
  <si>
    <t>Naknade za prijevoz na posao i s posla</t>
  </si>
  <si>
    <t>STRUČNO USAVRŠAVANJE ZAPOSLENIH</t>
  </si>
  <si>
    <t>seminari, savjetovanja i simpoziji</t>
  </si>
  <si>
    <t>OSTALE NAKNADE TROŠKOVA ZAPOSLENIH</t>
  </si>
  <si>
    <t>naknada za korištenje privatnog automobila u službene svrhe – općina</t>
  </si>
  <si>
    <t>Ostale naknade troškova zaposlenih</t>
  </si>
  <si>
    <t>RASHODI ZA MATERIJAL I ENERGIJU</t>
  </si>
  <si>
    <t>UREDSKI MATERIJAL I OSTALI MATERIJALNI RASHODI</t>
  </si>
  <si>
    <t>uredski materijal</t>
  </si>
  <si>
    <t>literatura(publikacije, časopisi, glasila, knjige i ostalo)</t>
  </si>
  <si>
    <t>materijal i sredstva za čišćenje i održavanje</t>
  </si>
  <si>
    <t>Toneri</t>
  </si>
  <si>
    <t>materijal za higijenske potrebe i njegu</t>
  </si>
  <si>
    <t>ostali materijal za potrebe redovnog poslovanja – općina</t>
  </si>
  <si>
    <t>MATERIJAL I SIROVINE - VRTULJAK</t>
  </si>
  <si>
    <t>ENERGIJA</t>
  </si>
  <si>
    <t>električna energija – općina</t>
  </si>
  <si>
    <t>električna energija – javna rasvjeta</t>
  </si>
  <si>
    <t>plin</t>
  </si>
  <si>
    <t>motorni benzin i dizel gorivo</t>
  </si>
  <si>
    <t>MATERIJAL I DIJELOVI ZA TEKUĆE I INVESTICIJSKO ODRŽAVANJE</t>
  </si>
  <si>
    <t>materijal i dijelovi za tekuće i investicijsko održavanje građevinskih objekata</t>
  </si>
  <si>
    <t>materijal i dijelovi za tekuće i investicijsko održavanje postrojenja i opreme</t>
  </si>
  <si>
    <t>ostali materijal i dijelovi za tekuće i investicijsko održavanje</t>
  </si>
  <si>
    <t>SITNI INVENTAR</t>
  </si>
  <si>
    <t>sitni inventar</t>
  </si>
  <si>
    <t>auto gume</t>
  </si>
  <si>
    <t>SLUŽBENA, RADNA I ZAŠTITNA ODJEĆA I OBUĆA</t>
  </si>
  <si>
    <t>službena,radna i zaštitna odjeća i obuća</t>
  </si>
  <si>
    <t>RASHODI ZA USLUGE</t>
  </si>
  <si>
    <t>USLUGE TELEFON, POŠTE I PRIJEVOZA</t>
  </si>
  <si>
    <t>usluge telefona, telefaksa</t>
  </si>
  <si>
    <t>usluge interneta</t>
  </si>
  <si>
    <t>poštarina (pisma, tiskanice i sl.)</t>
  </si>
  <si>
    <t>ostale usluge za komunikaciju i prijevoz</t>
  </si>
  <si>
    <t>USLUGE TEKUĆEG I INVESTICIJSKOG ODRŽAVANJA</t>
  </si>
  <si>
    <t>tekuće održavanje građ. Objekata – dvorac</t>
  </si>
  <si>
    <t>tekuće održavanje građ. Objekata – spomenik sv. Ana</t>
  </si>
  <si>
    <t>tekuće održavanje staza betoniranjem</t>
  </si>
  <si>
    <t>tekuće održavanje staza asfaltiranjem</t>
  </si>
  <si>
    <t>tekuće održavanje javne rasvjete</t>
  </si>
  <si>
    <t>tekuće održavanje javne rasvjete – povećanje broja r m</t>
  </si>
  <si>
    <t>tekuće održavanje postrojenja i opreme</t>
  </si>
  <si>
    <t>tekuće održavanje postrojenja i opreme – fontana</t>
  </si>
  <si>
    <t>tekuće održavanje prijevoznih sredstava</t>
  </si>
  <si>
    <t>tekuće održavanje poljskih putova</t>
  </si>
  <si>
    <t>Tekuće održavanje grobalja - Ograda</t>
  </si>
  <si>
    <t>Regionalno odlagalište otpada</t>
  </si>
  <si>
    <t>USLUGE PROMIDŽBE I INFORMIRANJA</t>
  </si>
  <si>
    <t>elektronski mediji</t>
  </si>
  <si>
    <t>elektronski mediji – vtv</t>
  </si>
  <si>
    <t>tisak</t>
  </si>
  <si>
    <t>KOMUNALNE USLUGE</t>
  </si>
  <si>
    <t>opskrba vodom</t>
  </si>
  <si>
    <t>iznošenje i odvoz smeća</t>
  </si>
  <si>
    <t>deratizacija i dezinsekcija</t>
  </si>
  <si>
    <t>dimnjačarske i ekološke usluge</t>
  </si>
  <si>
    <t>ostale komunalne usluge – zimska služba</t>
  </si>
  <si>
    <t>ostale komunalne usluge – održavanje javnih površina</t>
  </si>
  <si>
    <t>ostale komunalne usluge – sadnja i održavanje cvijeća i sadnica</t>
  </si>
  <si>
    <t>ostale komunalne usluge - održavanje drvoreda</t>
  </si>
  <si>
    <t>ostale komunalne usluge – strojna obrada i krčenje vegetacije</t>
  </si>
  <si>
    <t>ostale komunalne usluge – sanacija divljih deponija</t>
  </si>
  <si>
    <t>cvjetni i dekorski ukrasi</t>
  </si>
  <si>
    <t>ZAKUPNINE I NAJAMNINE</t>
  </si>
  <si>
    <t>licence</t>
  </si>
  <si>
    <t>ZDRAVSTVENE I VETERINARSKE USLUGE</t>
  </si>
  <si>
    <t>Obvezni i preventivni zdravstveni pregledi zaposlenika</t>
  </si>
  <si>
    <t>Veterinarske usluge</t>
  </si>
  <si>
    <t>ostale zdravstvene i veterinarske usluge</t>
  </si>
  <si>
    <t>INTELEKTUALNE I OSOBNE USLUGE</t>
  </si>
  <si>
    <t>autorski honorari</t>
  </si>
  <si>
    <t>ugovori o djelu</t>
  </si>
  <si>
    <t>usluge odvjetnika i pravnih savjetnika</t>
  </si>
  <si>
    <t>geodetsko-katastarske usluge</t>
  </si>
  <si>
    <t>ostale intelektualne usluge</t>
  </si>
  <si>
    <t>ostale intelektualne usluge – izrada programa i projekata</t>
  </si>
  <si>
    <t>RAČUNALNE USLUGE</t>
  </si>
  <si>
    <t>usluge ažuriranja računalnih baza</t>
  </si>
  <si>
    <t>ostale računalne usluge</t>
  </si>
  <si>
    <t>OSTALE USLUGE</t>
  </si>
  <si>
    <t>grafičke i tiskarske usluge, usluge kopiranja i uvezivanja i slično</t>
  </si>
  <si>
    <t>Tisak Glasnika</t>
  </si>
  <si>
    <t>film i izrada fotografija</t>
  </si>
  <si>
    <t>uređenje prostora - prostorni plan</t>
  </si>
  <si>
    <t>usluge pri registraciji prijevoznih sredstava</t>
  </si>
  <si>
    <t>usluge čišćenja, pranja prostorija</t>
  </si>
  <si>
    <t>usluge čišćenja, pranja</t>
  </si>
  <si>
    <t>ostale nespomenute usluge</t>
  </si>
  <si>
    <t>OSTALI NESPOMENUTI RASHODI POSLOVANJA</t>
  </si>
  <si>
    <t>NAKNADE ČLANOVIMA PRED. I IZVRŠNIH TIJELA</t>
  </si>
  <si>
    <t>naknade članovima predstavničkih i izvršnih tijela i upravnih vijeća – načelnik</t>
  </si>
  <si>
    <t>naknade članovima predstavničkih i izvršnih tijela i upravnih vijeća – donačelnik</t>
  </si>
  <si>
    <t>naknade članovima predstavničkih i izvršnih tijela i upravnih vijeća – predsjednici mjesnih odbora</t>
  </si>
  <si>
    <t>naknade članovima predstavničkih i izvršnih tijela i upravnih vijeća – predsjednik vijeća</t>
  </si>
  <si>
    <t>naknade članovima predstavničkih i izvršnih tijela i upravnih vijeća – članovi općinskog vijeća</t>
  </si>
  <si>
    <t>naknade članovima predstavničkih i izvršnih tijela i upravnih vijeća – nakande za izbore</t>
  </si>
  <si>
    <t>naknade članovima povjerenstava</t>
  </si>
  <si>
    <t>PREMIJE OSIGURANJA</t>
  </si>
  <si>
    <t>premije osiguranja prijevoznih sredstava</t>
  </si>
  <si>
    <t>premije osiguranja ostale imovine</t>
  </si>
  <si>
    <t>premije osiguranja zaposlenih</t>
  </si>
  <si>
    <t>REPREZENTACIJA</t>
  </si>
  <si>
    <t>reprezentacija</t>
  </si>
  <si>
    <t>reprezentacija – proslava blagdana</t>
  </si>
  <si>
    <t>reprezentacija – kulturne priredbe</t>
  </si>
  <si>
    <t>reprezentacija – prijem izaslanstava</t>
  </si>
  <si>
    <t>reprezentacija – dani općine</t>
  </si>
  <si>
    <t>PRISTOJBE I NAKNADE</t>
  </si>
  <si>
    <t>Upravne i administrativne pristojbe</t>
  </si>
  <si>
    <t>Ostale pristojbe i naknade</t>
  </si>
  <si>
    <t>rashodi protokola(vijenci, cvijeće, svijeće i slično)</t>
  </si>
  <si>
    <t>ostali nespomenuti rashodi poslovanja</t>
  </si>
  <si>
    <t>FINANCIJSKI RASHODI</t>
  </si>
  <si>
    <t>OSTALI FINANCIJSKI RASHODI</t>
  </si>
  <si>
    <t>usluge banaka</t>
  </si>
  <si>
    <t>Zatezne kamate</t>
  </si>
  <si>
    <t>usluge platnog prometa</t>
  </si>
  <si>
    <t>ostali nespomenuti financijski rashodi</t>
  </si>
  <si>
    <t>SUBVENCIJE TRGOVAČKIM DRUŠTVIMA, POLJOPRIVREDNICIMA, I OBRTNICIMA IZVAN JAVNOG SEKTORA</t>
  </si>
  <si>
    <t>SUBVENCIJE POLJOPRIVREDNICIMA I OBRTNICIMA</t>
  </si>
  <si>
    <t>subvencija poljoprivrednicima</t>
  </si>
  <si>
    <t>subvencije obrtnicima</t>
  </si>
  <si>
    <t>NAKNADE GRAĐANIMA I KUĆANSTVIMA NA TEMELJU OSIGURANJA I DRUGE NAKNADE</t>
  </si>
  <si>
    <t>OSTALE NAKNADE GRAĐANIMA I KUĆANSTVIMA IZ PRORAČUNA</t>
  </si>
  <si>
    <t>NAKNADE GRAĐANIMA I KUĆANSTVIMA U NOVCU</t>
  </si>
  <si>
    <t>porodiljne naknade i oprema za novorođenčad</t>
  </si>
  <si>
    <t>ostale naknade iz proračuna u novcu</t>
  </si>
  <si>
    <t>ostale naknade iz proračuna u novcu – infrastruktura branitelja</t>
  </si>
  <si>
    <t>NAKNADE GRAĐANIMA I KUĆANSTVIMA U NARAVI</t>
  </si>
  <si>
    <t>sufinanciranje cijene prijevoza – učenika</t>
  </si>
  <si>
    <t>sufinanciranje cijene prijevoza – socijalni program</t>
  </si>
  <si>
    <t>stanovanje – ogrjev</t>
  </si>
  <si>
    <t>OSTALI RASHODI</t>
  </si>
  <si>
    <t>TEKUĆE DONACIJE</t>
  </si>
  <si>
    <t>TEKUĆE DONACIJE VJERSKIM ZAJEDNICAMA</t>
  </si>
  <si>
    <t>tekuće donacije vjerskim zajednicama</t>
  </si>
  <si>
    <t>tekuće donacije nacionalnim zajednicama i manjinama</t>
  </si>
  <si>
    <t>TEKUĆE DONACIJE UDRUGAMA I POLITIČKIM STRANKAMA</t>
  </si>
  <si>
    <t>tekuće donacije udrugama</t>
  </si>
  <si>
    <t>tekuće donacije udrugama i političkim strankama</t>
  </si>
  <si>
    <t>tekuće donacije udrugama i političkim strankama – HDSSB</t>
  </si>
  <si>
    <t>tekuće donacije udrugama i političkim strankama – HSP-AS</t>
  </si>
  <si>
    <t>tekuće donacije udrugama i političkim strankama – H D Z</t>
  </si>
  <si>
    <t>tekuće donacije udrugama i političkim strankama – H S L S</t>
  </si>
  <si>
    <t>tekuće donacije udrugama i političkim strankama – H S P</t>
  </si>
  <si>
    <t>tekuće donacije udrugama i političkim strankama – S D P</t>
  </si>
  <si>
    <t>tekuće donacije udrugama i političkim strankama –  VEZILJE Cerić</t>
  </si>
  <si>
    <t>35.</t>
  </si>
  <si>
    <t>TEKUĆE DONACIJE SPORTSKIM DRUŠTVIMA</t>
  </si>
  <si>
    <t xml:space="preserve">tekuće donacije sportskim društvima – </t>
  </si>
  <si>
    <t>tekuće donacije sportskim društvima – NK „NOSTERIA“ Nuštar</t>
  </si>
  <si>
    <t>tekuće donacije sportskim društvima – NK „MLADOST“ Cerić</t>
  </si>
  <si>
    <t>tekuće donacije sportskim društvima – NK „MARINCI“ Marinci</t>
  </si>
  <si>
    <t>tekuće donacije sportskim društvima – Streljački klub „NOSTERIA“</t>
  </si>
  <si>
    <t>tekuće donacije sportskim društvima – aero klub „FENIX“</t>
  </si>
  <si>
    <t>tekuće donacije sportskim društvima – odbojkaški klub „ZRINSKI“</t>
  </si>
  <si>
    <t>tekuće donacije sportskim društvima – lovačka udruga „SOKOL“ Nuštar</t>
  </si>
  <si>
    <t>tekuće donacije sportskim društvima – lovačko društvo „VEPAR“ Cerić</t>
  </si>
  <si>
    <t>tekuće donacije sportskim društvima – lovačko društvo „SRNDAĆ“ Marinci</t>
  </si>
  <si>
    <t>tekuće donacije sportskim društvima – Š R D „VUKA“ Nuštar</t>
  </si>
  <si>
    <t>tekuće donacije sportskim društvima – Š R D „MLADOST“ Cerić</t>
  </si>
  <si>
    <t xml:space="preserve">tekuće donacije sportskim društvima – MAŽORETKINJE </t>
  </si>
  <si>
    <t>tekuće donacije sportskim društvima – Stolnoteniski klub</t>
  </si>
  <si>
    <t>TEKUĆE DONACIJE ZAKLADAMA I FUNDACIJAMA</t>
  </si>
  <si>
    <t>tekuće donacije zakladama i fundacijama – CRVENI KRIŽ</t>
  </si>
  <si>
    <t>ostale tekuće donacije – KUD „SELJAČKA SLOGA“ Nuštar</t>
  </si>
  <si>
    <t>ostale tekuće donacije – KUD „SLAVKO MAĐER“ Cerić</t>
  </si>
  <si>
    <t>ostale tekuće donacije – KUD „ŠANDOR PETEFI“ Marinci</t>
  </si>
  <si>
    <t>OSTALE TEKUĆE DONACIJE - DVD</t>
  </si>
  <si>
    <t>ostale tekuće donacije – DVD Nuštar</t>
  </si>
  <si>
    <t>OSTALE TEKUĆE DONACIJE</t>
  </si>
  <si>
    <t>ostale tekuće donacije – UHVDR Nuštar</t>
  </si>
  <si>
    <t>ostale tekuće donacije – UHDDR Nuštar</t>
  </si>
  <si>
    <t>ostale tekuće donacije – Veterani Cerić</t>
  </si>
  <si>
    <t>ostale tekuće donacije – LAG</t>
  </si>
  <si>
    <t>ostale tekuće donacije u novcu</t>
  </si>
  <si>
    <t>KAZNE, PENALI I NAKNADE ŠTETE</t>
  </si>
  <si>
    <t>naknade za štete uzrokovane prirodnim katastrofama</t>
  </si>
  <si>
    <t>RASHODI ZA NABAVU NE PROIZVEDENE DUGOTRAJNE IMOVINE</t>
  </si>
  <si>
    <t>MATERIJALNA IMOVINA – PRIRODNA BOGATSTVA</t>
  </si>
  <si>
    <t>ZEMLJIŠTE</t>
  </si>
  <si>
    <t>građevinsko zemljište</t>
  </si>
  <si>
    <t>LICENCE</t>
  </si>
  <si>
    <t>RASHODI ZA NABAVU PROIZVEDENE DUKOTRAJNE IMOVINE</t>
  </si>
  <si>
    <t>GRAĐEVINSKI OBJEKTI</t>
  </si>
  <si>
    <t>poslovni objekti</t>
  </si>
  <si>
    <t>sportske dvorane i rekreacijski objekti – šrc dvorac</t>
  </si>
  <si>
    <t>CESTE</t>
  </si>
  <si>
    <t>ceste</t>
  </si>
  <si>
    <t>ostali građevinski objekti</t>
  </si>
  <si>
    <t>plinovod, vodovoda i kanalizacija – izgradnja vodovodne mreže</t>
  </si>
  <si>
    <t>RASHODI ZA NABAVU PROIZVEDENE DUGOTRAJNE IMOVINE</t>
  </si>
  <si>
    <t>POSTROJENJA I OPREMA</t>
  </si>
  <si>
    <t>računala i računalna oprema</t>
  </si>
  <si>
    <t>ostala uredska oprema</t>
  </si>
  <si>
    <t>Telefoni i ostali komunikacijski uređaji</t>
  </si>
  <si>
    <t>OPREMA ZA ODRŽAVANJE I ZAŠTITU</t>
  </si>
  <si>
    <t>oprema za grijanje, ventilaciju i hlađenje</t>
  </si>
  <si>
    <t>oprema za civilnu zaštitu</t>
  </si>
  <si>
    <t>INSTRUMENTI, UREĐAJI I STROJEVI</t>
  </si>
  <si>
    <t>ostali instrumenti uređaji i strojevi</t>
  </si>
  <si>
    <t>Javna rasvjeta</t>
  </si>
  <si>
    <t>Uređaji strojevi i oprema za ostale namjene</t>
  </si>
  <si>
    <t>KNJIGE, UMJETNIČKA DIJELA I OSTALE IZLOŽBENE VRIJEDNOSTI</t>
  </si>
  <si>
    <t>knjige</t>
  </si>
  <si>
    <t>Reprezentacija-proslava blagdana</t>
  </si>
  <si>
    <t>Naknade šteta</t>
  </si>
  <si>
    <t>tekuće održavanje cesta</t>
  </si>
  <si>
    <t>Bibliobus</t>
  </si>
  <si>
    <t>Pomoći dane u inozemstvo i unutar općeg proračuna</t>
  </si>
  <si>
    <t>Pomoći proračunskim korisnicima drugih proračuna</t>
  </si>
  <si>
    <t>Kapitalne donacije</t>
  </si>
  <si>
    <t>Kazne, penali i naknade štete</t>
  </si>
  <si>
    <t>Članarine i norme</t>
  </si>
  <si>
    <t>Troškovi sudskih postupaka</t>
  </si>
  <si>
    <t>Kapitalne donacije neprofitnim organizacijama</t>
  </si>
  <si>
    <t>Ostale naknade građanima i kućanstvima iz proračuna u novcu</t>
  </si>
  <si>
    <t>tekuće donacije sportskim udrugama</t>
  </si>
  <si>
    <t>Tekuće donacije udrugama</t>
  </si>
  <si>
    <t>plinovod, vodovoda i kanalizacija – izgradnja kanalizacije</t>
  </si>
  <si>
    <t>djela umjetnika</t>
  </si>
  <si>
    <t>proračunska pričuva</t>
  </si>
  <si>
    <t>javnobilježnićke pristojbe</t>
  </si>
  <si>
    <t>ČLANARINE I NORME</t>
  </si>
  <si>
    <t>Tuzemne članarine</t>
  </si>
  <si>
    <t>TROŠKOVI SUDSKIH POSTUPAKA</t>
  </si>
  <si>
    <t>Djela umjetnika</t>
  </si>
  <si>
    <t>tekuće održavanje poljskih putova-KAMEN</t>
  </si>
  <si>
    <t>Pomoći unutar općeg proračuna</t>
  </si>
  <si>
    <t>Tekuće pomoći izvanproračunskim korisnicima županijskih,
gradskih i općinskih proračuna - osnovna škola</t>
  </si>
  <si>
    <t>Sufinanciranje cijene vrtića</t>
  </si>
  <si>
    <t>sufinanciranje cijene prijevoza</t>
  </si>
  <si>
    <t>ostale tekuće donacije – knjižnica</t>
  </si>
  <si>
    <t>POVRAT POREZA I PRIREZA NA DOHODAK PO GODIŠNJOJ PRIJAVI</t>
  </si>
  <si>
    <t>POREZ I PRIREZ OD DIVIDENDE</t>
  </si>
  <si>
    <t>POREZ NA PROMET NEKRETNINA</t>
  </si>
  <si>
    <t>POREZ NA POTROŠNJU</t>
  </si>
  <si>
    <t>POREZ NA TVRTKU</t>
  </si>
  <si>
    <t>ZAPRIMLJENI NEPREPOZNATI NALOZI</t>
  </si>
  <si>
    <t>TEKUĆE POMOĆI IZ DRŽAVNOG PRORAČUNA</t>
  </si>
  <si>
    <t>TEKUĆE POMOĆI IZ DRŽAVNOG PRORAČUNA PRIJENOS EU</t>
  </si>
  <si>
    <t>OSTALE POMOĆI</t>
  </si>
  <si>
    <t>KAPITALNE POMOĆI</t>
  </si>
  <si>
    <t>PRIHODI OD KAMATA</t>
  </si>
  <si>
    <t>NAKNADE ZA KONCESIJE</t>
  </si>
  <si>
    <t>PRIHODI OD ZAKUPA I IZNAJMLJIVANJA</t>
  </si>
  <si>
    <t>SPOMENIČKA RENTA</t>
  </si>
  <si>
    <t>PRIHODI OD PRODAJE DRŽAVNIH BILJEGA</t>
  </si>
  <si>
    <t>PRENAMJENA ZEMLJIŠTA</t>
  </si>
  <si>
    <t>DOPRINOSI ZA ŠUME</t>
  </si>
  <si>
    <t>SUFINANCIRANJE USLUGA</t>
  </si>
  <si>
    <t>KOMUNALNA NAKNADA</t>
  </si>
  <si>
    <t>PRIHODI OD PRUŽENIH USLUGA</t>
  </si>
  <si>
    <t>PRIHODI OD DONACIJA</t>
  </si>
  <si>
    <t>PRIHODI OD PRODAJE</t>
  </si>
  <si>
    <t>PRIHODI OD PRODAJE PROIZVODA I ROBE TE PRUŽENIH USLUGA I PRIHODI OD DONACIJA</t>
  </si>
  <si>
    <t>Naknada za uređenje voda</t>
  </si>
  <si>
    <t>PVC spremnici za bio otpad</t>
  </si>
  <si>
    <t>tekuće održavanje građ. Objekata-Marinci</t>
  </si>
  <si>
    <t>Rashodi za dodatna ulaganja na nefinancijskoj imovini</t>
  </si>
  <si>
    <t>Dodatna ulaganja na građevinskim objektima</t>
  </si>
  <si>
    <t>Tekuće održavanje poljskih puteva-KAMEN</t>
  </si>
  <si>
    <t>Tekuće donacije OŠ Zrinskih</t>
  </si>
  <si>
    <t>Kapitalne donacije OŠ Zrinskih</t>
  </si>
  <si>
    <t>Sufinanciranje prijevoza</t>
  </si>
  <si>
    <t>ostale tekuće donacije-knjižnica</t>
  </si>
  <si>
    <t>Reciklažno dvorište</t>
  </si>
  <si>
    <t>Prijenosi proračunskim korisnicima iz nadležnog proračuna za financiranje redovne djelatnosti</t>
  </si>
  <si>
    <t>Prijenosi proračunskim korisnicima iz nadležnog proračuna za financiranje rashoda poslovanja-VRTULJAK</t>
  </si>
  <si>
    <t>Prijenosi proračunskim korisnicima iz nadležnog proračuna za financiranje rashoda poslovanja-srpska nacionalnih manjina</t>
  </si>
  <si>
    <t>Prijenosi proračunskim korisnicima iz nadležnog proračuna za financiranje rashoda poslovanja-mađarska nacionalnih manjina</t>
  </si>
  <si>
    <t>VODNI DOPRINOS</t>
  </si>
  <si>
    <t>Kapitalne pomoći gradskim proračunima</t>
  </si>
  <si>
    <t>stanovanje-sufinanciranje vode</t>
  </si>
  <si>
    <t>Udruga ljubitelja i sakupljača starina - BANOVAC</t>
  </si>
  <si>
    <t>Zgrada Vrtuljka</t>
  </si>
  <si>
    <t>Hrvatska gorska služba spašavanja</t>
  </si>
  <si>
    <t>PRIHODI OD KAMATA-VRTULJAK</t>
  </si>
  <si>
    <t>Naknade za prijevoz</t>
  </si>
  <si>
    <t>Materijal i sirovine</t>
  </si>
  <si>
    <t>Usluge tekućeg i investicionog održavanja</t>
  </si>
  <si>
    <t>Intelektualne usluge</t>
  </si>
  <si>
    <t>Kapitalne donacije udrugama sportskim društvima</t>
  </si>
  <si>
    <t>Preventivni zdravstveni pregledi zaposlenika</t>
  </si>
  <si>
    <t>Zgrada predškolske ustanove</t>
  </si>
  <si>
    <t>Sufinanciranje cijene vode</t>
  </si>
  <si>
    <t>SUBVENCIJE TRGOVAČKIM DRUŠTVIMA U JAVNOM SEKTORU</t>
  </si>
  <si>
    <t>Subvencije trgovačkim društvima u javnom sektoru</t>
  </si>
  <si>
    <t>SUBVENCIJE</t>
  </si>
  <si>
    <t>172,173,174,175,176,177,180</t>
  </si>
  <si>
    <t>8,14,</t>
  </si>
  <si>
    <t>18,20,21,22</t>
  </si>
  <si>
    <t>25,27,28,29,30,32,33,34</t>
  </si>
  <si>
    <t>36,38,39,40</t>
  </si>
  <si>
    <t>44,45,46,47,49</t>
  </si>
  <si>
    <t>61,63,65,67,68,69</t>
  </si>
  <si>
    <t>75,78,80</t>
  </si>
  <si>
    <t>82,83,85</t>
  </si>
  <si>
    <t>87,89,</t>
  </si>
  <si>
    <t>94,96,97,98</t>
  </si>
  <si>
    <t>121,122,123</t>
  </si>
  <si>
    <t>Opskrba vodom i ostale komunalne usluge</t>
  </si>
  <si>
    <t>125,129,</t>
  </si>
  <si>
    <t>148,149,150,151,153,155</t>
  </si>
  <si>
    <t>158,159,</t>
  </si>
  <si>
    <t>161,162,163,164,165,166,167,168,169</t>
  </si>
  <si>
    <t>183,184,186</t>
  </si>
  <si>
    <t>188,191,</t>
  </si>
  <si>
    <t>196,197,198</t>
  </si>
  <si>
    <t>202,203,</t>
  </si>
  <si>
    <t>207,210,211,212</t>
  </si>
  <si>
    <t>219,220,</t>
  </si>
  <si>
    <t>333,334,335</t>
  </si>
  <si>
    <t>337,338,</t>
  </si>
  <si>
    <t>109,110,</t>
  </si>
  <si>
    <t>111,112,</t>
  </si>
  <si>
    <t>145,146,</t>
  </si>
  <si>
    <t>77,79,</t>
  </si>
  <si>
    <t>242,243,</t>
  </si>
  <si>
    <t>Naknade za rođenje djeteta</t>
  </si>
  <si>
    <t>237,238,</t>
  </si>
  <si>
    <t>Ostale tekuće donacije u novcu</t>
  </si>
  <si>
    <t>57,58,</t>
  </si>
  <si>
    <t>340,341,342,343</t>
  </si>
  <si>
    <t>INDEKS 18/17</t>
  </si>
  <si>
    <t>Ostale kazne</t>
  </si>
  <si>
    <t>plaće za zaposlene – ZAŽELI</t>
  </si>
  <si>
    <t>doprinos za mir. Osig. I stup - ZAŽELI</t>
  </si>
  <si>
    <t>tekuće donacije sportskim udrugama-REPREZENTACIJA</t>
  </si>
  <si>
    <t>FUNKCIJSKA KLASIFIKACIJA</t>
  </si>
  <si>
    <t>0435</t>
  </si>
  <si>
    <t>0133</t>
  </si>
  <si>
    <t>0111</t>
  </si>
  <si>
    <t>0112</t>
  </si>
  <si>
    <t>0131</t>
  </si>
  <si>
    <t>0620</t>
  </si>
  <si>
    <t>0640</t>
  </si>
  <si>
    <t>0830</t>
  </si>
  <si>
    <t>0630</t>
  </si>
  <si>
    <t>0460</t>
  </si>
  <si>
    <t>0760</t>
  </si>
  <si>
    <t>0421</t>
  </si>
  <si>
    <t>0510</t>
  </si>
  <si>
    <t>0540</t>
  </si>
  <si>
    <t>0451</t>
  </si>
  <si>
    <t>0911</t>
  </si>
  <si>
    <t>0820</t>
  </si>
  <si>
    <t>0810</t>
  </si>
  <si>
    <t>0840</t>
  </si>
  <si>
    <t>1050</t>
  </si>
  <si>
    <t>1040</t>
  </si>
  <si>
    <t>1060</t>
  </si>
  <si>
    <t>1070</t>
  </si>
  <si>
    <t>0320</t>
  </si>
  <si>
    <t>0912</t>
  </si>
  <si>
    <t>0473</t>
  </si>
  <si>
    <t>Naknade troškova osobama izvan radnog odnosa</t>
  </si>
  <si>
    <t>Šifra izvora</t>
  </si>
  <si>
    <t>Opći prihodi i primici</t>
  </si>
  <si>
    <t>Vlastiti prihodi</t>
  </si>
  <si>
    <t>Prihodi za posebne namjene</t>
  </si>
  <si>
    <t>Pomoći</t>
  </si>
  <si>
    <t>Donacije</t>
  </si>
  <si>
    <t>Donacije od pravnih i fizičkih osoba izvan općeg proračuna</t>
  </si>
  <si>
    <t>Prihodi od nefinacnijske imovine i nadoknade šteta s osnova osiguranja</t>
  </si>
  <si>
    <t>Namjenski prihodi od zaduživanja</t>
  </si>
  <si>
    <t>Računalne uluge</t>
  </si>
  <si>
    <t>Troškovi stanovanja</t>
  </si>
  <si>
    <t>Zgrada mjesnog odbora Marinci</t>
  </si>
  <si>
    <t>Strojna obrada i krčenje vegetacije</t>
  </si>
  <si>
    <t>Ostale naknade iz proračuna u naravi</t>
  </si>
  <si>
    <t>Komunalni doprinosi i naknade</t>
  </si>
  <si>
    <t>Naknade za prijevoz na posao i s posla-ZAŽELI</t>
  </si>
  <si>
    <t>seminari, savjetovanja i simpoziji-ZAŽELI</t>
  </si>
  <si>
    <t>naknada za korištenje privatnog automobila u službene svrhe – ZAŽELI</t>
  </si>
  <si>
    <t>ostali materijal za potrebe redovnog poslovanja – ZAŽELI</t>
  </si>
  <si>
    <t>ostale intelektualne usluge – ZAŽELI</t>
  </si>
  <si>
    <t>grafičke i tiskarske usluge, usluge kopiranja i uvezivanja i slično-ZAŽELI</t>
  </si>
  <si>
    <t>ostale nespomenute usluge-ZAŽELI</t>
  </si>
  <si>
    <t>ostali instrumenti uređaji i strojevi-ZAŽELI</t>
  </si>
  <si>
    <t>tekuće donacije sportskim društvima – ostale udruge</t>
  </si>
  <si>
    <t>regres za godišnji odmor - ZAŽELI</t>
  </si>
  <si>
    <t>NAKNADE ŠTETA</t>
  </si>
  <si>
    <t>Članak 1.</t>
  </si>
  <si>
    <t>broj</t>
  </si>
  <si>
    <t>Naziv klasifikacije</t>
  </si>
  <si>
    <t>UKUPNO RASHODI</t>
  </si>
  <si>
    <t>Prihodi od nefin.imovine i nadoknade šteta od osiguranja</t>
  </si>
  <si>
    <t>01</t>
  </si>
  <si>
    <t>Opće javne usluge</t>
  </si>
  <si>
    <t>011</t>
  </si>
  <si>
    <t>Izvršna i zakonodavna tijela, financijski i fiskalni poslovi, vanjski poslovi</t>
  </si>
  <si>
    <t>012</t>
  </si>
  <si>
    <t>Inozemna ekonomska pomoć</t>
  </si>
  <si>
    <t>013</t>
  </si>
  <si>
    <t>Opće usluge</t>
  </si>
  <si>
    <t>014</t>
  </si>
  <si>
    <t>Osnovna istraživanja</t>
  </si>
  <si>
    <t>015</t>
  </si>
  <si>
    <t>Istraživanje i razvoj: Opće javne usluge</t>
  </si>
  <si>
    <t>016</t>
  </si>
  <si>
    <t>Opće javne usluge koje nisu drugdje svrstane</t>
  </si>
  <si>
    <t>017</t>
  </si>
  <si>
    <t>Transakcije vezane za javni dug</t>
  </si>
  <si>
    <t>018</t>
  </si>
  <si>
    <t>Prijenosi općeg karaktera između različitih državnih razina</t>
  </si>
  <si>
    <t>02</t>
  </si>
  <si>
    <t>Obrana</t>
  </si>
  <si>
    <t>021</t>
  </si>
  <si>
    <t>Vojna obrana</t>
  </si>
  <si>
    <t>022</t>
  </si>
  <si>
    <t>Civilna obrana</t>
  </si>
  <si>
    <t>023</t>
  </si>
  <si>
    <t>Inozemna vojna pomoć</t>
  </si>
  <si>
    <t>024</t>
  </si>
  <si>
    <t>Istraživanje i razvoj obrane</t>
  </si>
  <si>
    <t>025</t>
  </si>
  <si>
    <t>Rashodi za obranu koji nisu drugdje svrstani</t>
  </si>
  <si>
    <t>03</t>
  </si>
  <si>
    <t>Javni red i sigurnost</t>
  </si>
  <si>
    <t>031</t>
  </si>
  <si>
    <t>Usluge policije</t>
  </si>
  <si>
    <t>032</t>
  </si>
  <si>
    <t>Usluge protupožarne zaštite</t>
  </si>
  <si>
    <t>033</t>
  </si>
  <si>
    <t>Sudovi</t>
  </si>
  <si>
    <t>034</t>
  </si>
  <si>
    <t>Zatvori</t>
  </si>
  <si>
    <t>035</t>
  </si>
  <si>
    <t>Istraživanje i razvoj: Javni red i sigurnost</t>
  </si>
  <si>
    <t>036</t>
  </si>
  <si>
    <t>Rashodi za javni red i sigurnost koji nisu drugdje svrstani</t>
  </si>
  <si>
    <t>04</t>
  </si>
  <si>
    <t>Ekonomski poslovi</t>
  </si>
  <si>
    <t>041</t>
  </si>
  <si>
    <t>Opći ekonomski, trgovački i poslovi vezani uz rad</t>
  </si>
  <si>
    <t>042</t>
  </si>
  <si>
    <t>Poljoprivreda, šumarstvo, ribarstvo i lov</t>
  </si>
  <si>
    <t>043</t>
  </si>
  <si>
    <t>Gorivo i energija</t>
  </si>
  <si>
    <t>044</t>
  </si>
  <si>
    <t>Rudarstvo, proizvodnja i građevinarstvo</t>
  </si>
  <si>
    <t>045</t>
  </si>
  <si>
    <t>Promet</t>
  </si>
  <si>
    <t>046</t>
  </si>
  <si>
    <t>Komunikacije</t>
  </si>
  <si>
    <t>047</t>
  </si>
  <si>
    <t>Ostale industrije</t>
  </si>
  <si>
    <t>048</t>
  </si>
  <si>
    <t>Istraživanje i razvoj: Ekonomski poslovi</t>
  </si>
  <si>
    <t>049</t>
  </si>
  <si>
    <t>Ekonomski poslovi koji nisu drugdje svrstani</t>
  </si>
  <si>
    <t>05</t>
  </si>
  <si>
    <t>Zaštita okoliša</t>
  </si>
  <si>
    <t>051</t>
  </si>
  <si>
    <t>Gospodarenje otpadom</t>
  </si>
  <si>
    <t>052</t>
  </si>
  <si>
    <t>Gospodarenje otpadnim vodama</t>
  </si>
  <si>
    <t>053</t>
  </si>
  <si>
    <t>Smanjenje zagađivanja</t>
  </si>
  <si>
    <t>054</t>
  </si>
  <si>
    <t>Zaštita bioraznolikosti i krajolika</t>
  </si>
  <si>
    <t>055</t>
  </si>
  <si>
    <t>Istraživanje i razvoj: Zaštita okoliša</t>
  </si>
  <si>
    <t>056</t>
  </si>
  <si>
    <t>Poslovi i usluge zaštite okoliša koji nisu drugdje svrstani</t>
  </si>
  <si>
    <t>06</t>
  </si>
  <si>
    <t>Usluge unapređenja stanovanja i zajednice</t>
  </si>
  <si>
    <t>061</t>
  </si>
  <si>
    <t>Razvoj stanovanja</t>
  </si>
  <si>
    <t>062</t>
  </si>
  <si>
    <t>Razvoj zajednice</t>
  </si>
  <si>
    <t>063</t>
  </si>
  <si>
    <t>Opskrba vodom</t>
  </si>
  <si>
    <t>064</t>
  </si>
  <si>
    <t>Ulična rasvjeta</t>
  </si>
  <si>
    <t>065</t>
  </si>
  <si>
    <t>Istraživanje i razvoj stanovanja i komunalnih pogodnosti</t>
  </si>
  <si>
    <t>066</t>
  </si>
  <si>
    <t>Rashodi vezani za stanovanje i kom. pogodnosti koji nisu drugdje svrstani</t>
  </si>
  <si>
    <t>07</t>
  </si>
  <si>
    <t>Zdravstvo</t>
  </si>
  <si>
    <t>071</t>
  </si>
  <si>
    <t>Medicinski proizvodi, pribor i oprema</t>
  </si>
  <si>
    <t>072</t>
  </si>
  <si>
    <t>Službe za vanjske pacijente</t>
  </si>
  <si>
    <t>073</t>
  </si>
  <si>
    <t>Bolničke službe</t>
  </si>
  <si>
    <t>074</t>
  </si>
  <si>
    <t>Službe javnog zdravstva</t>
  </si>
  <si>
    <t>075</t>
  </si>
  <si>
    <t>Istraživanje i razvoj zdravstva</t>
  </si>
  <si>
    <t>076</t>
  </si>
  <si>
    <t>Poslovi i usluge zdravstva koji nisu drugdje svrstani</t>
  </si>
  <si>
    <t>08</t>
  </si>
  <si>
    <t>Rekreacija, kultura i religija</t>
  </si>
  <si>
    <t>081</t>
  </si>
  <si>
    <t>Službe rekreacije i sporta</t>
  </si>
  <si>
    <t>082</t>
  </si>
  <si>
    <t>Službe kulture</t>
  </si>
  <si>
    <t>083</t>
  </si>
  <si>
    <t>Službe emitiranja i izdavanja</t>
  </si>
  <si>
    <t>084</t>
  </si>
  <si>
    <t>Religijske i druge službe zajednice</t>
  </si>
  <si>
    <t>085</t>
  </si>
  <si>
    <t>Istraživanje i razvoj rekreacije, kulture i religije</t>
  </si>
  <si>
    <t>086</t>
  </si>
  <si>
    <t>Rashodi za rekreaciju, kulturu i religiju koji nisu drugdje svrstani</t>
  </si>
  <si>
    <t>09</t>
  </si>
  <si>
    <t>Obrazovanje</t>
  </si>
  <si>
    <t>091</t>
  </si>
  <si>
    <t>Predškolsko i osnovno obrazovanje</t>
  </si>
  <si>
    <t>092</t>
  </si>
  <si>
    <t>Srednjoškolsko obrazovanje</t>
  </si>
  <si>
    <t>093</t>
  </si>
  <si>
    <t>Poslije srednjoškolsko, ali ne visoko obrazovanje</t>
  </si>
  <si>
    <t>094</t>
  </si>
  <si>
    <t>Visoka naobrazba</t>
  </si>
  <si>
    <t>095</t>
  </si>
  <si>
    <t>Obrazovanje koje se ne može definirati po stupnju</t>
  </si>
  <si>
    <t>096</t>
  </si>
  <si>
    <t>Dodatne usluge u obrazovanju</t>
  </si>
  <si>
    <t>097</t>
  </si>
  <si>
    <t>Istraživanje i razvoj obrazovanja</t>
  </si>
  <si>
    <t>098</t>
  </si>
  <si>
    <t>Usluge obrazovanja koje nisu drugdje svrstane</t>
  </si>
  <si>
    <t>10</t>
  </si>
  <si>
    <t>Socijalna zaštita</t>
  </si>
  <si>
    <t>101</t>
  </si>
  <si>
    <t>Bolest i invaliditet</t>
  </si>
  <si>
    <t>102</t>
  </si>
  <si>
    <t>Starost</t>
  </si>
  <si>
    <t>103</t>
  </si>
  <si>
    <t>Slijednici</t>
  </si>
  <si>
    <t>104</t>
  </si>
  <si>
    <t>Obitelj i djeca</t>
  </si>
  <si>
    <t>105</t>
  </si>
  <si>
    <t>Nezaposlenost</t>
  </si>
  <si>
    <t>106</t>
  </si>
  <si>
    <t>Stanovanje</t>
  </si>
  <si>
    <t>107</t>
  </si>
  <si>
    <t>Socijalna pomoć stanovništvu koje nije obuhvaćeno redovnim socijalnim programima</t>
  </si>
  <si>
    <t>108</t>
  </si>
  <si>
    <t>Istraživanje i razvoj socijalne zaštite</t>
  </si>
  <si>
    <t>109</t>
  </si>
  <si>
    <t>Aktivnosti socijalne zaštite koje nisu drugdje svrstane</t>
  </si>
  <si>
    <t>INDEKS 18/18</t>
  </si>
  <si>
    <t>TEKUĆE POTPORE ŽUPANIJA</t>
  </si>
  <si>
    <t>KAPITALNE POMOĆI IZ DRŽAVNOG PRORAČUNA</t>
  </si>
  <si>
    <t>TEKUĆE POMOĆI ZAVOD ZA ZAPOŠLJAVANJE</t>
  </si>
  <si>
    <t>TEKUĆE POMOĆI FOND ZA ZAŠTITU OKOLIŠA</t>
  </si>
  <si>
    <t>KOMUNALNI DOPRINOS</t>
  </si>
  <si>
    <t>NAKNADA ZA LEGALIZACIJU</t>
  </si>
  <si>
    <t>Kazne, upravne mjere i ostali prihodi</t>
  </si>
  <si>
    <t>Ostali prihodi</t>
  </si>
  <si>
    <t>VRTULJAK</t>
  </si>
  <si>
    <t>Tekuće potpore iz državnog proračuna</t>
  </si>
  <si>
    <t>kamate na depozite</t>
  </si>
  <si>
    <t>sufinanciranje cijene usluge</t>
  </si>
  <si>
    <t>prihodi od obavljanja osnovnih djelatnosti</t>
  </si>
  <si>
    <t>Tablica izvori financiranja</t>
  </si>
  <si>
    <t>Tablica funkcijska klasifikacija</t>
  </si>
  <si>
    <t>otpremnine</t>
  </si>
  <si>
    <t>doprinos za mir. Osig. II stup – ZAŽELI</t>
  </si>
  <si>
    <t>doprinos za obv. Zdrav. Osig. - ZAŽELI</t>
  </si>
  <si>
    <t>Tekuće održavanje kanala III i IV reda</t>
  </si>
  <si>
    <t>reprezentacija-ZAŽELI</t>
  </si>
  <si>
    <t>ostale naknade iz proračuna u novcu – povećanje energetske učinkovitosti</t>
  </si>
  <si>
    <t>troškovi režija</t>
  </si>
  <si>
    <t>tekuće donacije sportskim društvima – REPREZENTACIJA</t>
  </si>
  <si>
    <t>Zgrada Dvorca</t>
  </si>
  <si>
    <t>Povećanje energetske učinkovitosti</t>
  </si>
  <si>
    <t>Plaće za zaposlene</t>
  </si>
  <si>
    <t>Plaće u naravi</t>
  </si>
  <si>
    <t>Ostale naknade zaposlenima</t>
  </si>
  <si>
    <t>Darovi</t>
  </si>
  <si>
    <t>naknade za bolest</t>
  </si>
  <si>
    <t>Regres</t>
  </si>
  <si>
    <t>Doprinos za zdrastveno</t>
  </si>
  <si>
    <t>Doprinos za zapošljavanje</t>
  </si>
  <si>
    <t>Dnevnice za službena putovanja</t>
  </si>
  <si>
    <t>naknada za prijevoz na posao i s posla</t>
  </si>
  <si>
    <t xml:space="preserve">Seminar </t>
  </si>
  <si>
    <t>Uredski materijal</t>
  </si>
  <si>
    <t>literatura</t>
  </si>
  <si>
    <t>Materijal i sredstva za čišćenje</t>
  </si>
  <si>
    <t>Pomoćni materijal</t>
  </si>
  <si>
    <t>namirnice</t>
  </si>
  <si>
    <t>Električna energija</t>
  </si>
  <si>
    <t>Plin</t>
  </si>
  <si>
    <t>Materijal i i djelovi održavanje objekata</t>
  </si>
  <si>
    <t>Materijal i i djelovi održavanje postrojenja i opreme</t>
  </si>
  <si>
    <t>Ostali materijal i djelovi za tekuće održavanje</t>
  </si>
  <si>
    <t>Službena i radna zaštita odjeća i obuća</t>
  </si>
  <si>
    <t>usluge telefona</t>
  </si>
  <si>
    <t>Održavanje objekata</t>
  </si>
  <si>
    <t>Održavanje postrojenja i opreme</t>
  </si>
  <si>
    <t>ostale usluge promidžbe i informiranja</t>
  </si>
  <si>
    <t>obvezni i preventivni pregledi</t>
  </si>
  <si>
    <t>labaratorijske usluge</t>
  </si>
  <si>
    <t>usluge odvjetnika</t>
  </si>
  <si>
    <t>usluge vještačenja</t>
  </si>
  <si>
    <t>knjigovodstvene usluge</t>
  </si>
  <si>
    <t>grafičke i tiskarske usluge</t>
  </si>
  <si>
    <t>vježbenici</t>
  </si>
  <si>
    <t>naknade članovima prestavničkih tijela</t>
  </si>
  <si>
    <t>premije osiguranja</t>
  </si>
  <si>
    <t>premije nezgode</t>
  </si>
  <si>
    <t>Tekuće donacie humanitarnim organizacijama</t>
  </si>
  <si>
    <t>Oprema</t>
  </si>
  <si>
    <t>ostali rashodi za zaposlene- ZAŽELI</t>
  </si>
  <si>
    <t>Tečajevi i stručni ispiti</t>
  </si>
  <si>
    <t>Naknada zbog nezapošljavanja osoba s invaliditetom</t>
  </si>
  <si>
    <t>Kapitalne pomoći izvanproračunskim korisnicima županijskih,
gradskih i općinskih proračuna - Fond za zaštitu okoliša</t>
  </si>
  <si>
    <t>OSTALE TEKUĆE DONACIJE - KULTURA</t>
  </si>
  <si>
    <t>šifra izvršenje 2017</t>
  </si>
  <si>
    <t>Šifra plan 2018</t>
  </si>
  <si>
    <t>šifra plan 2019</t>
  </si>
  <si>
    <t>šifra projekcija 2020</t>
  </si>
  <si>
    <t>šifra projekcija 2021</t>
  </si>
  <si>
    <t>Regres za godišnji odmor</t>
  </si>
  <si>
    <t>Ostali materijal za potrebe redovnog poslovanja</t>
  </si>
  <si>
    <t>ostale usluge</t>
  </si>
  <si>
    <t>Usluge bibliobusa</t>
  </si>
  <si>
    <t>Naknada za energetsku uslugu</t>
  </si>
  <si>
    <t>sportske dvorane i rekreacijski objekti – dječja igrališta</t>
  </si>
  <si>
    <t>Predškolska ustanova Cerić</t>
  </si>
  <si>
    <t>Nematerijalna proizvedena imovina</t>
  </si>
  <si>
    <t>Filmovi, kazališne i glazbene predstave</t>
  </si>
  <si>
    <t>Naknada za mjernu uslugu</t>
  </si>
  <si>
    <t>Izgradnja dječjih igrališta</t>
  </si>
  <si>
    <t>Pomoć mladim obiteljima za kupnju kuće</t>
  </si>
  <si>
    <t>Božićnice za umirovljenike</t>
  </si>
  <si>
    <t>1020</t>
  </si>
  <si>
    <t>Usluge reciklažnog dvorišta</t>
  </si>
  <si>
    <t>tekuće donacije sportskim društvima – Pavlovo brdo</t>
  </si>
  <si>
    <t>tekuće donacije sportskim društvima – Uzgajivači koza i ovaca</t>
  </si>
  <si>
    <t>RAZDJEL 001 OPĆINA NUŠTAR</t>
  </si>
  <si>
    <t>GLAVA 00101 OPĆINA NUŠTAR</t>
  </si>
  <si>
    <t>Tekuće donacije u novcu (naknade vijećnicima)</t>
  </si>
  <si>
    <t>A001010001 JAVNA UPRAVA I ADMINISTRACIJA</t>
  </si>
  <si>
    <t>Energija za javnu rasvjetu</t>
  </si>
  <si>
    <t>Upravljanje financijama i priprema akata</t>
  </si>
  <si>
    <t>Nabava dugotrajne imovine</t>
  </si>
  <si>
    <t>Održavanje javne rasvjete</t>
  </si>
  <si>
    <t>Održavanje javnih površina</t>
  </si>
  <si>
    <t>Tekuće održavanje građevinskih objekata i postrojenja i opreme</t>
  </si>
  <si>
    <t>Donacije udrugama iz kulture</t>
  </si>
  <si>
    <t>Redovna djelatnost knjižničarstva</t>
  </si>
  <si>
    <t>Izgradnja nerazvrstanih cesta</t>
  </si>
  <si>
    <t>Tekuće održavanje nerazvrstanih cesta</t>
  </si>
  <si>
    <t>Izgradnja športsko rekreacijskih objekata</t>
  </si>
  <si>
    <t>Pomoć u novcu</t>
  </si>
  <si>
    <t>Program ZAŽELI</t>
  </si>
  <si>
    <t>GLAVA 00102 PREDŠKOLSKA USTANOVA VRTULJAK</t>
  </si>
  <si>
    <t>Predškolska ustanova Vrtuljak</t>
  </si>
  <si>
    <t>A001020001 PREDŠKOLSKI ODGOJ</t>
  </si>
  <si>
    <t>Sufinanciranje dječjih vrtića</t>
  </si>
  <si>
    <t>Donacije osnovna škola</t>
  </si>
  <si>
    <t>Studentske stipendije</t>
  </si>
  <si>
    <t>Izgradnja predškolskih ustanova</t>
  </si>
  <si>
    <t>Dani obrane i dani općine Nuštar</t>
  </si>
  <si>
    <t>Potpora poljoprivredi</t>
  </si>
  <si>
    <t>Plaće za prekovremeni rad</t>
  </si>
  <si>
    <t>Uredska oprema i namještaj</t>
  </si>
  <si>
    <t>Komunikacijska oprema</t>
  </si>
  <si>
    <t>Nagrade</t>
  </si>
  <si>
    <t>Otpremnine</t>
  </si>
  <si>
    <t>Ostali materijal</t>
  </si>
  <si>
    <t>Iznošenje i odvoz snmeća</t>
  </si>
  <si>
    <t>Usluge legalizacije komunalne infrastrukture</t>
  </si>
  <si>
    <t xml:space="preserve">naknada za korištenje privatnog automobila u službene svrhe </t>
  </si>
  <si>
    <t>REPREZENTACIJA- Memorijali</t>
  </si>
  <si>
    <t>Memorijali</t>
  </si>
  <si>
    <t>Program zaštite divljači</t>
  </si>
  <si>
    <t>Donacije lovačkim udrugama</t>
  </si>
  <si>
    <t>Izdaci za dane zajmove i depozite</t>
  </si>
  <si>
    <t>Izdaci za dane zajmove trgovačkim društvima u javnom sektoru</t>
  </si>
  <si>
    <t>Dani zajmovi trgovačkim društvima u javnom sektoru - dugoročni</t>
  </si>
  <si>
    <t>pomoć obiteljima i kućanstvima - jedokratne</t>
  </si>
  <si>
    <t>troškovi stanovanja</t>
  </si>
  <si>
    <t>UKUPNO ostale udruge</t>
  </si>
  <si>
    <t>UKUPNO donacije kultura</t>
  </si>
  <si>
    <t>naknada za korištenje privatnog automobila u službene svrhe</t>
  </si>
  <si>
    <t>ostvarenje 30.6.19</t>
  </si>
  <si>
    <t>ostvarenje 31.12.19</t>
  </si>
  <si>
    <t>Izvorni plan 2020</t>
  </si>
  <si>
    <t>tekući plan 2020</t>
  </si>
  <si>
    <t>ostvarenje 30.6.2020</t>
  </si>
  <si>
    <t>Sportska igraonica</t>
  </si>
  <si>
    <t>Budi uz mene</t>
  </si>
  <si>
    <t>Ostale naknade šteta EKO DIM</t>
  </si>
  <si>
    <t>PRIMICI OD FINANCIJSKE IMOVINE I ZADUŽIVANJA</t>
  </si>
  <si>
    <t>Primici (povrati) glavnice zajmova danih trgovačkim društvima u javnom sektoru</t>
  </si>
  <si>
    <t>Povrat zajmova danih trgovačkim društvima u javnom sektoru - dugoročni</t>
  </si>
  <si>
    <t>Udruga Budi uz mene</t>
  </si>
  <si>
    <t xml:space="preserve"> Redni broj</t>
  </si>
  <si>
    <t>naknade članovima predstavničkih i izvršnih tijela i upravnih vijeća – CIVILNA ZAŠTITA</t>
  </si>
  <si>
    <t>Izgradnja spomenika</t>
  </si>
  <si>
    <t>Uredski namještaj</t>
  </si>
  <si>
    <t>Solarna elektrana</t>
  </si>
  <si>
    <t>Oprema za grijanje</t>
  </si>
  <si>
    <t>Naknada Tcom</t>
  </si>
  <si>
    <t>PRIHODI OS ELEKTRANE</t>
  </si>
  <si>
    <t>seminari, savjetovanja i simpoziji-CIVILNA ZAŠTITA</t>
  </si>
  <si>
    <t>ostali materijal za potrebe redovnog poslovanja – izbori</t>
  </si>
  <si>
    <t>električna energija – reciklažno dvorište</t>
  </si>
  <si>
    <t>iznošenje i odvoz smeća-reciklažno dvorište</t>
  </si>
  <si>
    <t>ostale intelektualne usluge-CIVILNA ZAŠTITA</t>
  </si>
  <si>
    <t>usluge ažuriranja računalnih baza-reciklažno dvorište</t>
  </si>
  <si>
    <t>ostale nespomenute usluge-CIVILNA ZAŠTITA</t>
  </si>
  <si>
    <t>Premije osiguranja-CIVILNA ZAŠTITA</t>
  </si>
  <si>
    <t>Pošta</t>
  </si>
  <si>
    <t>PVC kante za plastiku</t>
  </si>
  <si>
    <t>naknade članovima predstavničkih i izvršnih tijela i upravnih vijeća – izborno povjerenstvo</t>
  </si>
  <si>
    <t>tekuće donacije sportskim društvima – Mlačuge</t>
  </si>
  <si>
    <t>tekuće donacije sportskim društvima – Odbojkaški invalidi</t>
  </si>
  <si>
    <t>sportske dvorane i rekreacijski objekti – Dvorana</t>
  </si>
  <si>
    <t>Prihod od kamata na dane zajmove</t>
  </si>
  <si>
    <t>Ostali nespomenuti financijski rashodi</t>
  </si>
  <si>
    <t>Redovito financiranje političkih stranaka</t>
  </si>
  <si>
    <t>0811</t>
  </si>
  <si>
    <t>Malonogometno igralište</t>
  </si>
  <si>
    <t>Izgradnja spomenika kod groblja</t>
  </si>
  <si>
    <t>Građevine i uređaji javne namjene</t>
  </si>
  <si>
    <t>0511</t>
  </si>
  <si>
    <t>Upravljanje reciklažnim dvorištem</t>
  </si>
  <si>
    <t>Odvoz smeća</t>
  </si>
  <si>
    <t>Usluge ažuriranja računalnih baza</t>
  </si>
  <si>
    <t>Ostale donacije sportskim udrugama</t>
  </si>
  <si>
    <t>Program javnih potreba u sportu</t>
  </si>
  <si>
    <t>Civilna zaštita</t>
  </si>
  <si>
    <t>0360</t>
  </si>
  <si>
    <t>Ostale nespomenute usluge</t>
  </si>
  <si>
    <t>Ostale intelektualne usluge</t>
  </si>
  <si>
    <t>Kapitalne pomoći izvanproračunskim korisnicima županijskih,
gradskih i općinskih proračuna</t>
  </si>
  <si>
    <t>udžbenici</t>
  </si>
  <si>
    <t>tekuće donacije udrugama i političkim strankama – Domovinski</t>
  </si>
  <si>
    <t>tržnica</t>
  </si>
  <si>
    <t>dvorana</t>
  </si>
  <si>
    <t>Bonus za uspješan rad</t>
  </si>
  <si>
    <t>PRIHODI UKUPNO (OPĆINA+VRTULJAK+KNJIŽNICA)</t>
  </si>
  <si>
    <t>PRIHODI UKUPNO OPĆINA (6+7+8+9)</t>
  </si>
  <si>
    <t>PRIHODI UKUPNO VRTULJAK (6+9)</t>
  </si>
  <si>
    <t>PRIHODI UKUPNO KNJIŽNICA (6)</t>
  </si>
  <si>
    <t>PRIHODI POSLOVANJA OPĆINA</t>
  </si>
  <si>
    <t>PRIHODI POSLOVANJA VRTULJAK</t>
  </si>
  <si>
    <t>PRIHODI POSLOVANJA KNJIŽNICA</t>
  </si>
  <si>
    <t>VIŠAK/MANJAK PRIHODA OPĆINA</t>
  </si>
  <si>
    <t>VIŠAK/MANJAK PRIHODA VRTULJAK</t>
  </si>
  <si>
    <t>KNJIŽNICA</t>
  </si>
  <si>
    <t>Ostale nespomenute pristojbe i naknade-ČLANARINE</t>
  </si>
  <si>
    <t>preneseni višak prihoda poslovanja</t>
  </si>
  <si>
    <t>DOPRINOSI NA PLAĆU</t>
  </si>
  <si>
    <t>doprinos za mir. Osig. I stup</t>
  </si>
  <si>
    <t>doprinos za mir. Osig. II stup</t>
  </si>
  <si>
    <t>RASHODI UKUPNO (OPĆINA+VRTULJAK+KNJIŽNICA)</t>
  </si>
  <si>
    <t>RASHODI UKUPNO OPĆINA (3+4)</t>
  </si>
  <si>
    <t>RASHODI UKUPNO VRTULJAK (3+4)</t>
  </si>
  <si>
    <t>RASHODI UKUPNO KNJIŽNICA (3)</t>
  </si>
  <si>
    <t>RASHODI POSLOVANJA OPĆINA</t>
  </si>
  <si>
    <t>RASHODI POSLOVANJA VRTULJAK</t>
  </si>
  <si>
    <t>RASHODI POSLOVANJA KNJIŽNICA</t>
  </si>
  <si>
    <t>RASHODI ZA NABAVU NEFINANCIJSKE IMOVINE OPĆINA</t>
  </si>
  <si>
    <t>RASHODI ZA NABAVU NEFINANCIJSKE IMOVINE VRTULJAK</t>
  </si>
  <si>
    <t>sportske dvorane i rekreacijski objekti – Poučne staze</t>
  </si>
  <si>
    <t>OSTVARNJE 31.5.2022</t>
  </si>
  <si>
    <t>OSTVARNJE 31.6.2022</t>
  </si>
  <si>
    <t>električna energija – udruge</t>
  </si>
  <si>
    <t>tekuće održavanje postrojenja i opreme – hidranti</t>
  </si>
  <si>
    <t>usluge kombinirke</t>
  </si>
  <si>
    <t>tekuće donacije sportskim društvima – Basket Nuštar</t>
  </si>
  <si>
    <t>stambeno servisna zona</t>
  </si>
  <si>
    <t>Električna energija-UDRUGE</t>
  </si>
  <si>
    <t>Tekuće održavanje hidrantske mreže</t>
  </si>
  <si>
    <t>Tekuće održavanje ograde groblja</t>
  </si>
  <si>
    <t>Usluge kombinirke</t>
  </si>
  <si>
    <t>Izgradnja tržnice</t>
  </si>
  <si>
    <t>Izgradnja dvorane</t>
  </si>
  <si>
    <t>Projekt stambeo-servisne zone</t>
  </si>
  <si>
    <t>GLAVA 00103 KNJIŽNICA I ČITAONICA SVETOG BENEDIKTA</t>
  </si>
  <si>
    <t>A001030001 PROMICANJE KULTURE</t>
  </si>
  <si>
    <t>Knjižnica i čitaonica svetog Benedikta</t>
  </si>
  <si>
    <t>0821</t>
  </si>
  <si>
    <t>Doprinos za mir. Osig. II stup</t>
  </si>
  <si>
    <t>Doprinos za mir. Osig. I stup</t>
  </si>
  <si>
    <t>Sitni inventar</t>
  </si>
  <si>
    <t>Reprentacija</t>
  </si>
  <si>
    <t>Sufinanciranje udžbenika</t>
  </si>
  <si>
    <t>Održavanje kanala III i IV reda</t>
  </si>
  <si>
    <t>Sufinanciranje prijevoza srednja škola i udžbenici osnovna škola</t>
  </si>
  <si>
    <t>ostali materijal za potrebe redovnog poslovanja – VRTULJAK</t>
  </si>
  <si>
    <t>tekuće održavanje građ. Objekata-Cerić</t>
  </si>
  <si>
    <t>Usluge čišćenja i pranja</t>
  </si>
  <si>
    <t>Prijenosi proračunskim korisnicima iz nadležnog proračuna za financiranje rashoda poslovanja-KNJIŽNICA</t>
  </si>
  <si>
    <t>sportske dvorane i rekreacijski objekti – Nadstrešnica pravoslavno groblje</t>
  </si>
  <si>
    <t>RASHODI ZA NABAVU NEF. IMOVINE VRTULJAK</t>
  </si>
  <si>
    <t>RASHODI ZA NABAVU NEF. IMOVINE OPĆINA</t>
  </si>
  <si>
    <t>UKUPNO 6+9</t>
  </si>
  <si>
    <t>SA VRTIĆEM I KNJIŽNICE</t>
  </si>
  <si>
    <t>Ostali materijal z aporebe redovnog poslovanja VRTULJAK</t>
  </si>
  <si>
    <t>tekuće održavanje građ. Objekata-NK Mladost</t>
  </si>
  <si>
    <t>Nadstrešnica pravoslavno groblje</t>
  </si>
  <si>
    <t>Poučna staza Zverinjak i Marinci</t>
  </si>
  <si>
    <t>Izvorni plan 2023.</t>
  </si>
  <si>
    <t>Poštarina</t>
  </si>
  <si>
    <t>Tekući plan 2023.</t>
  </si>
  <si>
    <t>Ostvarenje 30.6.2023</t>
  </si>
  <si>
    <t>Asfaltiranje staza</t>
  </si>
  <si>
    <t>Izgradnja sustava odvodnje</t>
  </si>
  <si>
    <t>0520</t>
  </si>
  <si>
    <t>poštarina</t>
  </si>
  <si>
    <t>plin udruge</t>
  </si>
  <si>
    <t>opskrba vodom udruge</t>
  </si>
  <si>
    <t>školarine</t>
  </si>
  <si>
    <t>stipendije</t>
  </si>
  <si>
    <t>komunalna naknada pošta</t>
  </si>
  <si>
    <t>WARZONE</t>
  </si>
  <si>
    <t>tekuće donacije sportskim društvima – Boćarski klub</t>
  </si>
  <si>
    <t>Plin - UDRUGE</t>
  </si>
  <si>
    <t>Voda - UDRUGE</t>
  </si>
  <si>
    <t>Naknade za djecu od 1-7 godina</t>
  </si>
  <si>
    <t>Školarine</t>
  </si>
  <si>
    <t>Stipendije</t>
  </si>
  <si>
    <t>Ostvarenje 30.06.2023</t>
  </si>
  <si>
    <t>VIŠAK/MANJAK PRIHODA KNJIŽNICA</t>
  </si>
  <si>
    <t>Izbori za vijeća nacionalnih manjina</t>
  </si>
  <si>
    <t>Naknade povjerenstvo</t>
  </si>
  <si>
    <t xml:space="preserve">Temeljem članka 89. Zakona o proračunu (Narodne novine 144/21.), te članka 30. Statuta Općine Nuštar (''Službeni vjesnik'' </t>
  </si>
  <si>
    <t>SAŽETAK RAČUNA PRIHODA I RASHODA</t>
  </si>
  <si>
    <t>SAŽETAK RAČUNA FINANCIRANJA</t>
  </si>
  <si>
    <t>IZDACI ZA FINANCIJSKU IMOVINU I OTPLATE ZAJMOVA</t>
  </si>
  <si>
    <t>RAZLIKA PRIMITAKA I IZDATAKA</t>
  </si>
  <si>
    <t>PRENESENI VIŠAK/MANJAK IZ PRETHODNE GODINE</t>
  </si>
  <si>
    <t>PRIJENOS VIŠKA/MANJKA U SLIJEDEĆE RAZDOBLJE</t>
  </si>
  <si>
    <t>PRIHODI UKUPNO OPĆINA (6+7)</t>
  </si>
  <si>
    <t>INDEKS % 6/3</t>
  </si>
  <si>
    <t>I. OPĆI DIO</t>
  </si>
  <si>
    <t>INDEKS % 6/2</t>
  </si>
  <si>
    <t>INDEKS % 6/5</t>
  </si>
  <si>
    <t>Izvorni plan/ rebalans 2023.</t>
  </si>
  <si>
    <t>Ostvarenje/ Izvršenje 31.12.2022.</t>
  </si>
  <si>
    <t>Ostvarenje/ Izvršenje 30.6.2023.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</si>
  <si>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</si>
  <si>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</si>
  <si>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</si>
  <si>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</si>
  <si>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Povrat poreza i prireza na dohodak po godišnjoj prijavi</t>
  </si>
  <si>
    <t>Porez na promet nekretnina</t>
  </si>
  <si>
    <t>Porez na potrošnju</t>
  </si>
  <si>
    <t>Porez na naziv tvrtke</t>
  </si>
  <si>
    <t>Zaprimljeni neprepoznati nalozi</t>
  </si>
  <si>
    <t>Tekuće pomoći proračunu iz drugih proračuna</t>
  </si>
  <si>
    <t>Kapitalne pomoći iz državnog proračuna</t>
  </si>
  <si>
    <t xml:space="preserve">Tekuće pomoći od izvanproračunskih korisnika </t>
  </si>
  <si>
    <t>Kamate na oročena sredstva i depozite po viđenju</t>
  </si>
  <si>
    <t>Naknade za koncesije</t>
  </si>
  <si>
    <t>Prihodi od zakupa i iznajmljivanja imovine</t>
  </si>
  <si>
    <t>Naknada za korištenje nefinancijske imovine</t>
  </si>
  <si>
    <t>Prihodi od kamata na dane zajmove</t>
  </si>
  <si>
    <t>Ostale upravne pristojbe i naknade</t>
  </si>
  <si>
    <t>Prihodi vodnog gospodarstva</t>
  </si>
  <si>
    <t>Doprinosi za šume</t>
  </si>
  <si>
    <t>Komunalni doprinosi</t>
  </si>
  <si>
    <t>Komunalne naknade</t>
  </si>
  <si>
    <t>Prihodi od prodaje proizvoda i robe</t>
  </si>
  <si>
    <t>BROJČANA OZNAKA I NAZIV</t>
  </si>
  <si>
    <t>Prihodi od kamata na dane zajmove trgovačkim društvima u javnom sektoru</t>
  </si>
  <si>
    <t>Stambeni objekti</t>
  </si>
  <si>
    <t xml:space="preserve">UKUPNO PRIHODI </t>
  </si>
  <si>
    <t>Doprinosi za obvezno zdravstveno osiguranje</t>
  </si>
  <si>
    <t>Stručno usavršavanje zaposlenika</t>
  </si>
  <si>
    <t>Ostale naknade troškova zaposlenima</t>
  </si>
  <si>
    <t>Sitni inventar i auto gume</t>
  </si>
  <si>
    <t>Naknade za rad predstavničkih i izvršnih tijela, povjerenstava i slično</t>
  </si>
  <si>
    <t>Subvencije trgovačkim društvima, zadrugama, poljoprivrednicima i obrtnicima izvan javnog sektora</t>
  </si>
  <si>
    <t>Subvencije poljoprivrednicima i obrtnicima</t>
  </si>
  <si>
    <t>Tekuće pomoći proračunskim korisnicima drugih proračuna</t>
  </si>
  <si>
    <t>Kapitalne pomoći proračunskim korisnicima drugih proračuna</t>
  </si>
  <si>
    <t>Prijenosi proračunskim korisnicima iz nadležnog proračuna za financiranje rashoda poslovanja</t>
  </si>
  <si>
    <t>Naknade građanima i kućanstvima u naravi</t>
  </si>
  <si>
    <t>Tekuće donacije u novcu</t>
  </si>
  <si>
    <t>Naknade šteta pravnim i fizičkim osobama</t>
  </si>
  <si>
    <t>Poslovni objekti</t>
  </si>
  <si>
    <t>Uređaji, strojevi i oprema za ostale namjene</t>
  </si>
  <si>
    <t>Ceste, željeznice i ostali prometni objekti</t>
  </si>
  <si>
    <t>Ostali građevinski objekti</t>
  </si>
  <si>
    <t>Umjetnička djela (izložena u galerijama, muzejima i slično)</t>
  </si>
  <si>
    <t xml:space="preserve">UKUPNO RASHODI </t>
  </si>
  <si>
    <t>UKUPNO PRIHODI</t>
  </si>
  <si>
    <t>UKUPNI RASHODI</t>
  </si>
  <si>
    <t>1.1. SAŽETAK RAČUNA PRIHODA I RASHODA I RAČUNA FINANCIRANJA</t>
  </si>
  <si>
    <t>1.2. RAČUN PRIHODA I RASHODA</t>
  </si>
  <si>
    <t>1.2.1. IZVJEŠTAJ O PRIHODIMA I RASHODIMA PREMA EKONOMSKOJ KLASIFIKACIJI</t>
  </si>
  <si>
    <t>1.2.2. IZVJEŠTAJ O PRIHODIMA I RASHODIMA PREMA IZVORIMA FINANCIRANJA</t>
  </si>
  <si>
    <t>1.2.3. IZVJEŠTAJ O RASHODIMA PREMA FUNKCIJSKOJ KLASIFIKACIJI</t>
  </si>
  <si>
    <t>1.3. RAČUN FINANCIRANJA</t>
  </si>
  <si>
    <t>1.3.1. IZVJEŠTAJ RAČUNA FINANCIRANJA PREMA EKONOMSKOJ KLASIFIKACIJI</t>
  </si>
  <si>
    <t>1.3.2. IZVJEŠTAJ RAČUNA FINANCIRANJA PREMA IZVORIMA FINANCIRANJA</t>
  </si>
  <si>
    <t>II. POSEBNI DIO</t>
  </si>
  <si>
    <t>2.1. IZVJEŠTAJ PO ORGANIZACIJSKOJ KLASIFIKACIJI</t>
  </si>
  <si>
    <t>2.2. IZVJEŠTAJ PO ORGANIZACIJSKOJ KLASIFIKACIJI</t>
  </si>
  <si>
    <t>zajedno sa prihodima i rashodima Predškolske ustanove Vrtuljak kao i  prihode i rashode knjižnice i čitaonice :</t>
  </si>
  <si>
    <t>TABLICA 1.</t>
  </si>
  <si>
    <t>TABLICA 2.</t>
  </si>
  <si>
    <t>TABLICA 3.</t>
  </si>
  <si>
    <t>TABLICA 4.</t>
  </si>
  <si>
    <t>Članak 2.</t>
  </si>
  <si>
    <t xml:space="preserve">iskazuju u slijedećim tablicama: 1.2.1. Prihodi i rashodi prema ekonomskoj klasifikaciji (Tablica 2.), 1.2.2. Prihodi i rashodi prema izvorima </t>
  </si>
  <si>
    <t xml:space="preserve">Opći dio sadrži 1.1. Sažetak Računa prihoda i rashoda i Računa financiranja (Tablica 1.), Računa prihoda i rashoda koji se </t>
  </si>
  <si>
    <t xml:space="preserve">financiranja (Tablica 3.) i 1.2.3 rashodi prema funkcijskoj klasifikaciji (Tablica 4.), te 1.3. račun Financiranja koji se iskazuju u </t>
  </si>
  <si>
    <t>TABLICA 5.</t>
  </si>
  <si>
    <t>slijedećim tablicama: 1.3.1. Izvještaj računa financiranja prema ekonomskoj klasifikaciji (Tablica 5.) i 1.3.2. Izvještaj računa financiranja prema izvorima financiranja (Tablica 6.)</t>
  </si>
  <si>
    <t>TABLICA 6.</t>
  </si>
  <si>
    <t>Članak 3.</t>
  </si>
  <si>
    <t>TABLICA 8.</t>
  </si>
  <si>
    <t>TABLICA 7.</t>
  </si>
  <si>
    <t>Posebni dio polugodišnjeg izvještaja sadrži: 2.1. Izvještaj po organizacijskoj klasifikaciji i 2.2. Izvještaj po programskoj klasifikaciji</t>
  </si>
  <si>
    <t>T001010002 UPRAVLJANJE IMOVINOM</t>
  </si>
  <si>
    <t>A001010003 JAČANJE GOSPODARSTVA</t>
  </si>
  <si>
    <t>K001010004 UPRAVLJANJE IMOVINOM</t>
  </si>
  <si>
    <t>A001010005 ODRŽAVANJE KOMUNALNE INFRASTRUKTURE</t>
  </si>
  <si>
    <t>A001010006 POTPORA POLJOPRIVREDI</t>
  </si>
  <si>
    <t>A001010007 PROMICANJE KULTURE</t>
  </si>
  <si>
    <t>K001010008 PROMICANJE KULTURE</t>
  </si>
  <si>
    <t>A001010009 ZAŠTITA OKOLIŠA</t>
  </si>
  <si>
    <t>K001010010 RAZVOJ I UPRAVLJANJE SUSTAVA VODOOPSKRBE, ODVODNJE I ZAŠTITE VODA</t>
  </si>
  <si>
    <t>K001010011 RAZVOJ I SIGURNOST PROMETA</t>
  </si>
  <si>
    <t>K001010012 RAZVOJ ŠPORTA I REKREACIJE</t>
  </si>
  <si>
    <t>T001010013 RAZVOJ ŠPORTA I REKREACIJE</t>
  </si>
  <si>
    <t>T001010014 RAZVOJ CIVILNOG DRUŠTVA</t>
  </si>
  <si>
    <t>T001010015 ZAŠTITA PRAVA NACIONALNIH MANJINA</t>
  </si>
  <si>
    <t>T001010016 SOCIJALNA SKRB</t>
  </si>
  <si>
    <t>T001010017 ORGANIZIRANJE I PROVOĐENJE ZAŠTITE I SPAŠAVANJA</t>
  </si>
  <si>
    <t>A001010018 OSNOVNO I SREDNJOŠKOLSKO OBRAZOVANJE</t>
  </si>
  <si>
    <t>A001010019 VISOKO OBRAZOVANJE</t>
  </si>
  <si>
    <t>K001010020 PREDŠKOLSKI ODGOJ</t>
  </si>
  <si>
    <t>T001010021  PREDŠKOLSKI ODGOJ</t>
  </si>
  <si>
    <t>Ostvarenje 31.12.2023</t>
  </si>
  <si>
    <t>Ostvarenje/ Izvršenje 31.12.2023.</t>
  </si>
  <si>
    <t xml:space="preserve">Kpaitalne pomoći od izvanproračunskih korisnika </t>
  </si>
  <si>
    <t>RASHODI 367 PRIJENOSI PRORAČUNSKIM KORISNICIMA</t>
  </si>
  <si>
    <t>PRIHODI UKUPNO VRTULJAK (6)</t>
  </si>
  <si>
    <t>Nabavka PVC spremnika za BIO otpad</t>
  </si>
  <si>
    <t>Deponija Đakovo</t>
  </si>
  <si>
    <t>IZVJEŠTAJ O IZVRŠENJU PRORAČUNA OPĆINE NUŠTAR ZA 2023. GODINU</t>
  </si>
  <si>
    <t xml:space="preserve">Izvještaj o izvršenju Proračuna Općine Nuštar od 1.1. do 31.12.2023. g. u Općem dijelu sadrži prihode i rashode Općine Nuštar, a u Posebnom dijelu prihode i rashode Općine Nuštar </t>
  </si>
  <si>
    <t>Izvještaj o izvršenju proračuna općine Nuštar za 2023. godinu sastoji se od Općeg i posebnog dijela.</t>
  </si>
  <si>
    <t>RASHODI ZA NABAVU NEF. IMOVINE KNJIŽNICA</t>
  </si>
  <si>
    <t>RASHODI ZA NABAVU NEFINANCIJSKE IMOVINE KNJIŽNICA</t>
  </si>
  <si>
    <t>RASHODI UKUPNO KNJIŽNICA (3+4)</t>
  </si>
  <si>
    <t>INDEKS % 7/6</t>
  </si>
  <si>
    <t>INDEKS % 7/4</t>
  </si>
  <si>
    <t>INDEKS % 7/3</t>
  </si>
  <si>
    <t xml:space="preserve">Vukovarsko srijemske županije broj 5/21 i 06/23),  te pravilnika o polugodišnjem i godišnjem izvještaju o izvršenju proračuna (Narodne novine 85/23) </t>
  </si>
  <si>
    <t>Općinsko vijeće Općine Nuštar na svojoj 20. sjednici, održanoj 25. ožujka 2024. g. usvaja: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</si>
</sst>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Arial"/>
      <family val="2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MS Sans Serif"/>
      <family val="2"/>
      <charset val="238"/>
    </font>
    <font>
      <b/>
      <sz val="15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6"/>
      <color rgb="FFFF0000"/>
      <name val="Times New Roman"/>
      <family val="1"/>
      <charset val="238"/>
    </font>
    <font>
      <sz val="18"/>
      <name val="Times New Roman"/>
      <family val="1"/>
      <charset val="238"/>
    </font>
    <font>
      <sz val="16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3" fillId="0" borderId="0"/>
    <xf numFmtId="0" fontId="11" fillId="0" borderId="0"/>
    <xf numFmtId="0" fontId="12" fillId="0" borderId="5" applyNumberFormat="0" applyFill="0" applyAlignment="0" applyProtection="0"/>
    <xf numFmtId="0" fontId="21" fillId="0" borderId="0"/>
    <xf numFmtId="0" fontId="11" fillId="0" borderId="0"/>
  </cellStyleXfs>
  <cellXfs count="503">
    <xf numFmtId="0" fontId="0" fillId="0" borderId="0" xfId="0"/>
    <xf numFmtId="0" fontId="4" fillId="0" borderId="2" xfId="2" applyFont="1" applyBorder="1" applyAlignment="1">
      <alignment horizontal="center" textRotation="90" wrapText="1"/>
    </xf>
    <xf numFmtId="0" fontId="4" fillId="0" borderId="2" xfId="2" applyFont="1" applyBorder="1" applyAlignment="1">
      <alignment horizontal="center" textRotation="90"/>
    </xf>
    <xf numFmtId="0" fontId="4" fillId="0" borderId="2" xfId="2" applyFont="1" applyBorder="1" applyAlignment="1">
      <alignment horizontal="center" wrapText="1"/>
    </xf>
    <xf numFmtId="4" fontId="4" fillId="5" borderId="2" xfId="2" applyNumberFormat="1" applyFont="1" applyFill="1" applyBorder="1" applyAlignment="1">
      <alignment horizontal="center" textRotation="90" wrapText="1"/>
    </xf>
    <xf numFmtId="0" fontId="3" fillId="0" borderId="0" xfId="2"/>
    <xf numFmtId="0" fontId="4" fillId="6" borderId="2" xfId="2" applyFont="1" applyFill="1" applyBorder="1"/>
    <xf numFmtId="0" fontId="4" fillId="6" borderId="0" xfId="2" applyFont="1" applyFill="1"/>
    <xf numFmtId="4" fontId="4" fillId="6" borderId="2" xfId="2" applyNumberFormat="1" applyFont="1" applyFill="1" applyBorder="1"/>
    <xf numFmtId="0" fontId="3" fillId="6" borderId="0" xfId="2" applyFill="1"/>
    <xf numFmtId="0" fontId="4" fillId="6" borderId="2" xfId="2" applyFont="1" applyFill="1" applyBorder="1" applyAlignment="1">
      <alignment wrapText="1"/>
    </xf>
    <xf numFmtId="0" fontId="4" fillId="7" borderId="2" xfId="2" applyFont="1" applyFill="1" applyBorder="1"/>
    <xf numFmtId="0" fontId="4" fillId="7" borderId="2" xfId="2" applyFont="1" applyFill="1" applyBorder="1" applyAlignment="1">
      <alignment wrapText="1"/>
    </xf>
    <xf numFmtId="4" fontId="4" fillId="7" borderId="2" xfId="2" applyNumberFormat="1" applyFont="1" applyFill="1" applyBorder="1"/>
    <xf numFmtId="0" fontId="3" fillId="7" borderId="0" xfId="2" applyFill="1"/>
    <xf numFmtId="0" fontId="4" fillId="3" borderId="2" xfId="2" applyFont="1" applyFill="1" applyBorder="1"/>
    <xf numFmtId="0" fontId="4" fillId="3" borderId="2" xfId="2" applyFont="1" applyFill="1" applyBorder="1" applyAlignment="1">
      <alignment wrapText="1"/>
    </xf>
    <xf numFmtId="4" fontId="4" fillId="3" borderId="2" xfId="2" applyNumberFormat="1" applyFont="1" applyFill="1" applyBorder="1"/>
    <xf numFmtId="4" fontId="4" fillId="4" borderId="2" xfId="2" applyNumberFormat="1" applyFont="1" applyFill="1" applyBorder="1"/>
    <xf numFmtId="0" fontId="3" fillId="3" borderId="0" xfId="2" applyFill="1"/>
    <xf numFmtId="0" fontId="4" fillId="0" borderId="2" xfId="2" applyFont="1" applyBorder="1"/>
    <xf numFmtId="0" fontId="4" fillId="0" borderId="2" xfId="2" applyFont="1" applyBorder="1" applyAlignment="1">
      <alignment wrapText="1"/>
    </xf>
    <xf numFmtId="0" fontId="4" fillId="7" borderId="4" xfId="2" applyFont="1" applyFill="1" applyBorder="1"/>
    <xf numFmtId="0" fontId="4" fillId="7" borderId="4" xfId="2" applyFont="1" applyFill="1" applyBorder="1" applyAlignment="1">
      <alignment wrapText="1"/>
    </xf>
    <xf numFmtId="0" fontId="4" fillId="0" borderId="0" xfId="2" applyFont="1"/>
    <xf numFmtId="0" fontId="5" fillId="0" borderId="0" xfId="2" applyFont="1"/>
    <xf numFmtId="0" fontId="4" fillId="0" borderId="0" xfId="2" applyFont="1" applyAlignment="1">
      <alignment wrapText="1"/>
    </xf>
    <xf numFmtId="4" fontId="4" fillId="0" borderId="0" xfId="2" applyNumberFormat="1" applyFont="1"/>
    <xf numFmtId="4" fontId="5" fillId="5" borderId="0" xfId="2" applyNumberFormat="1" applyFont="1" applyFill="1"/>
    <xf numFmtId="0" fontId="6" fillId="0" borderId="0" xfId="2" applyFont="1"/>
    <xf numFmtId="0" fontId="6" fillId="0" borderId="0" xfId="2" applyFont="1" applyAlignment="1">
      <alignment wrapText="1"/>
    </xf>
    <xf numFmtId="0" fontId="3" fillId="8" borderId="0" xfId="2" applyFill="1"/>
    <xf numFmtId="4" fontId="4" fillId="6" borderId="2" xfId="2" applyNumberFormat="1" applyFont="1" applyFill="1" applyBorder="1" applyAlignment="1">
      <alignment horizontal="right" wrapText="1"/>
    </xf>
    <xf numFmtId="0" fontId="5" fillId="6" borderId="0" xfId="2" applyFont="1" applyFill="1"/>
    <xf numFmtId="4" fontId="4" fillId="6" borderId="2" xfId="2" applyNumberFormat="1" applyFont="1" applyFill="1" applyBorder="1" applyAlignment="1">
      <alignment horizontal="right"/>
    </xf>
    <xf numFmtId="4" fontId="4" fillId="7" borderId="2" xfId="2" applyNumberFormat="1" applyFont="1" applyFill="1" applyBorder="1" applyAlignment="1">
      <alignment horizontal="right" wrapText="1"/>
    </xf>
    <xf numFmtId="0" fontId="5" fillId="7" borderId="0" xfId="2" applyFont="1" applyFill="1"/>
    <xf numFmtId="0" fontId="4" fillId="9" borderId="2" xfId="2" applyFont="1" applyFill="1" applyBorder="1"/>
    <xf numFmtId="0" fontId="4" fillId="9" borderId="2" xfId="2" applyFont="1" applyFill="1" applyBorder="1" applyAlignment="1">
      <alignment wrapText="1"/>
    </xf>
    <xf numFmtId="4" fontId="4" fillId="9" borderId="2" xfId="2" applyNumberFormat="1" applyFont="1" applyFill="1" applyBorder="1"/>
    <xf numFmtId="4" fontId="4" fillId="9" borderId="2" xfId="2" applyNumberFormat="1" applyFont="1" applyFill="1" applyBorder="1" applyAlignment="1">
      <alignment horizontal="right" wrapText="1"/>
    </xf>
    <xf numFmtId="0" fontId="5" fillId="9" borderId="0" xfId="2" applyFont="1" applyFill="1"/>
    <xf numFmtId="4" fontId="4" fillId="3" borderId="2" xfId="2" applyNumberFormat="1" applyFont="1" applyFill="1" applyBorder="1" applyAlignment="1">
      <alignment horizontal="right" wrapText="1"/>
    </xf>
    <xf numFmtId="0" fontId="5" fillId="3" borderId="0" xfId="2" applyFont="1" applyFill="1"/>
    <xf numFmtId="4" fontId="4" fillId="0" borderId="2" xfId="2" applyNumberFormat="1" applyFont="1" applyBorder="1" applyAlignment="1">
      <alignment horizontal="right" wrapText="1"/>
    </xf>
    <xf numFmtId="4" fontId="4" fillId="3" borderId="2" xfId="2" applyNumberFormat="1" applyFont="1" applyFill="1" applyBorder="1" applyAlignment="1">
      <alignment wrapText="1"/>
    </xf>
    <xf numFmtId="0" fontId="8" fillId="0" borderId="0" xfId="2" applyFont="1"/>
    <xf numFmtId="4" fontId="4" fillId="9" borderId="2" xfId="2" applyNumberFormat="1" applyFont="1" applyFill="1" applyBorder="1" applyAlignment="1">
      <alignment wrapText="1"/>
    </xf>
    <xf numFmtId="4" fontId="4" fillId="0" borderId="0" xfId="2" applyNumberFormat="1" applyFont="1" applyAlignment="1">
      <alignment wrapText="1"/>
    </xf>
    <xf numFmtId="4" fontId="4" fillId="5" borderId="0" xfId="2" applyNumberFormat="1" applyFont="1" applyFill="1"/>
    <xf numFmtId="4" fontId="5" fillId="3" borderId="0" xfId="2" applyNumberFormat="1" applyFont="1" applyFill="1"/>
    <xf numFmtId="0" fontId="4" fillId="0" borderId="2" xfId="0" applyFont="1" applyBorder="1" applyAlignment="1">
      <alignment wrapText="1"/>
    </xf>
    <xf numFmtId="0" fontId="4" fillId="3" borderId="0" xfId="2" applyFont="1" applyFill="1" applyAlignment="1">
      <alignment vertical="center"/>
    </xf>
    <xf numFmtId="0" fontId="4" fillId="0" borderId="4" xfId="2" applyFont="1" applyBorder="1"/>
    <xf numFmtId="0" fontId="4" fillId="10" borderId="2" xfId="2" applyFont="1" applyFill="1" applyBorder="1"/>
    <xf numFmtId="0" fontId="4" fillId="10" borderId="2" xfId="0" applyFont="1" applyFill="1" applyBorder="1" applyAlignment="1">
      <alignment wrapText="1"/>
    </xf>
    <xf numFmtId="4" fontId="4" fillId="10" borderId="2" xfId="2" applyNumberFormat="1" applyFont="1" applyFill="1" applyBorder="1"/>
    <xf numFmtId="0" fontId="13" fillId="0" borderId="0" xfId="0" applyFont="1"/>
    <xf numFmtId="4" fontId="13" fillId="0" borderId="0" xfId="0" applyNumberFormat="1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/>
    <xf numFmtId="0" fontId="20" fillId="0" borderId="0" xfId="0" applyFont="1"/>
    <xf numFmtId="4" fontId="4" fillId="0" borderId="2" xfId="2" applyNumberFormat="1" applyFont="1" applyBorder="1" applyAlignment="1">
      <alignment horizontal="center" wrapText="1"/>
    </xf>
    <xf numFmtId="4" fontId="4" fillId="4" borderId="2" xfId="2" applyNumberFormat="1" applyFont="1" applyFill="1" applyBorder="1" applyAlignment="1">
      <alignment horizontal="center" wrapText="1"/>
    </xf>
    <xf numFmtId="4" fontId="4" fillId="5" borderId="2" xfId="2" applyNumberFormat="1" applyFont="1" applyFill="1" applyBorder="1" applyAlignment="1">
      <alignment horizontal="center" wrapText="1"/>
    </xf>
    <xf numFmtId="0" fontId="4" fillId="0" borderId="0" xfId="2" applyFont="1" applyAlignment="1">
      <alignment horizontal="center" textRotation="90"/>
    </xf>
    <xf numFmtId="1" fontId="4" fillId="3" borderId="6" xfId="2" applyNumberFormat="1" applyFont="1" applyFill="1" applyBorder="1"/>
    <xf numFmtId="4" fontId="4" fillId="6" borderId="0" xfId="2" applyNumberFormat="1" applyFont="1" applyFill="1"/>
    <xf numFmtId="4" fontId="4" fillId="3" borderId="0" xfId="2" applyNumberFormat="1" applyFont="1" applyFill="1"/>
    <xf numFmtId="4" fontId="4" fillId="4" borderId="0" xfId="2" applyNumberFormat="1" applyFont="1" applyFill="1"/>
    <xf numFmtId="0" fontId="4" fillId="11" borderId="0" xfId="2" applyFont="1" applyFill="1"/>
    <xf numFmtId="0" fontId="4" fillId="7" borderId="0" xfId="2" applyFont="1" applyFill="1"/>
    <xf numFmtId="0" fontId="4" fillId="6" borderId="0" xfId="2" applyFont="1" applyFill="1" applyAlignment="1">
      <alignment wrapText="1"/>
    </xf>
    <xf numFmtId="49" fontId="2" fillId="13" borderId="0" xfId="0" applyNumberFormat="1" applyFont="1" applyFill="1"/>
    <xf numFmtId="3" fontId="4" fillId="12" borderId="0" xfId="2" applyNumberFormat="1" applyFont="1" applyFill="1" applyAlignment="1">
      <alignment horizontal="center" textRotation="90" wrapText="1"/>
    </xf>
    <xf numFmtId="1" fontId="2" fillId="12" borderId="0" xfId="0" applyNumberFormat="1" applyFont="1" applyFill="1"/>
    <xf numFmtId="3" fontId="4" fillId="12" borderId="0" xfId="2" applyNumberFormat="1" applyFont="1" applyFill="1"/>
    <xf numFmtId="0" fontId="4" fillId="6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4" fontId="4" fillId="6" borderId="2" xfId="2" applyNumberFormat="1" applyFont="1" applyFill="1" applyBorder="1" applyAlignment="1">
      <alignment wrapText="1"/>
    </xf>
    <xf numFmtId="0" fontId="4" fillId="7" borderId="2" xfId="3" applyFont="1" applyFill="1" applyBorder="1" applyAlignment="1">
      <alignment horizontal="left" wrapText="1"/>
    </xf>
    <xf numFmtId="4" fontId="4" fillId="7" borderId="2" xfId="2" applyNumberFormat="1" applyFont="1" applyFill="1" applyBorder="1" applyAlignment="1">
      <alignment wrapText="1"/>
    </xf>
    <xf numFmtId="3" fontId="5" fillId="12" borderId="0" xfId="2" applyNumberFormat="1" applyFont="1" applyFill="1"/>
    <xf numFmtId="0" fontId="4" fillId="9" borderId="0" xfId="2" applyFont="1" applyFill="1"/>
    <xf numFmtId="0" fontId="4" fillId="9" borderId="0" xfId="2" applyFont="1" applyFill="1" applyAlignment="1">
      <alignment wrapText="1"/>
    </xf>
    <xf numFmtId="0" fontId="4" fillId="3" borderId="0" xfId="2" applyFont="1" applyFill="1"/>
    <xf numFmtId="0" fontId="4" fillId="3" borderId="0" xfId="2" applyFont="1" applyFill="1" applyAlignment="1">
      <alignment wrapText="1"/>
    </xf>
    <xf numFmtId="0" fontId="4" fillId="7" borderId="0" xfId="2" applyFont="1" applyFill="1" applyAlignment="1">
      <alignment wrapText="1"/>
    </xf>
    <xf numFmtId="0" fontId="9" fillId="0" borderId="0" xfId="0" applyFont="1"/>
    <xf numFmtId="0" fontId="4" fillId="0" borderId="2" xfId="0" applyFont="1" applyBorder="1" applyAlignment="1">
      <alignment horizontal="center" wrapText="1"/>
    </xf>
    <xf numFmtId="0" fontId="4" fillId="0" borderId="2" xfId="3" applyFont="1" applyBorder="1" applyAlignment="1">
      <alignment horizontal="left" wrapText="1"/>
    </xf>
    <xf numFmtId="4" fontId="4" fillId="0" borderId="2" xfId="2" applyNumberFormat="1" applyFont="1" applyBorder="1"/>
    <xf numFmtId="0" fontId="4" fillId="14" borderId="2" xfId="2" applyFont="1" applyFill="1" applyBorder="1"/>
    <xf numFmtId="4" fontId="4" fillId="14" borderId="2" xfId="2" applyNumberFormat="1" applyFont="1" applyFill="1" applyBorder="1"/>
    <xf numFmtId="0" fontId="4" fillId="14" borderId="2" xfId="2" applyFont="1" applyFill="1" applyBorder="1" applyAlignment="1">
      <alignment wrapText="1"/>
    </xf>
    <xf numFmtId="0" fontId="4" fillId="14" borderId="0" xfId="2" applyFont="1" applyFill="1"/>
    <xf numFmtId="4" fontId="4" fillId="5" borderId="3" xfId="2" applyNumberFormat="1" applyFont="1" applyFill="1" applyBorder="1" applyAlignment="1">
      <alignment horizontal="center" textRotation="90" wrapText="1"/>
    </xf>
    <xf numFmtId="4" fontId="4" fillId="6" borderId="3" xfId="2" applyNumberFormat="1" applyFont="1" applyFill="1" applyBorder="1"/>
    <xf numFmtId="4" fontId="4" fillId="9" borderId="3" xfId="2" applyNumberFormat="1" applyFont="1" applyFill="1" applyBorder="1"/>
    <xf numFmtId="3" fontId="4" fillId="12" borderId="7" xfId="2" applyNumberFormat="1" applyFont="1" applyFill="1" applyBorder="1" applyAlignment="1">
      <alignment horizontal="center" textRotation="90" wrapText="1"/>
    </xf>
    <xf numFmtId="3" fontId="4" fillId="12" borderId="8" xfId="2" applyNumberFormat="1" applyFont="1" applyFill="1" applyBorder="1" applyAlignment="1">
      <alignment horizontal="center" textRotation="90" wrapText="1"/>
    </xf>
    <xf numFmtId="1" fontId="2" fillId="12" borderId="8" xfId="0" applyNumberFormat="1" applyFont="1" applyFill="1" applyBorder="1"/>
    <xf numFmtId="3" fontId="4" fillId="12" borderId="7" xfId="2" applyNumberFormat="1" applyFont="1" applyFill="1" applyBorder="1"/>
    <xf numFmtId="3" fontId="5" fillId="12" borderId="7" xfId="2" applyNumberFormat="1" applyFont="1" applyFill="1" applyBorder="1"/>
    <xf numFmtId="3" fontId="5" fillId="12" borderId="9" xfId="2" applyNumberFormat="1" applyFont="1" applyFill="1" applyBorder="1"/>
    <xf numFmtId="3" fontId="5" fillId="12" borderId="10" xfId="2" applyNumberFormat="1" applyFont="1" applyFill="1" applyBorder="1"/>
    <xf numFmtId="1" fontId="2" fillId="12" borderId="10" xfId="0" applyNumberFormat="1" applyFont="1" applyFill="1" applyBorder="1"/>
    <xf numFmtId="1" fontId="2" fillId="12" borderId="11" xfId="0" applyNumberFormat="1" applyFont="1" applyFill="1" applyBorder="1"/>
    <xf numFmtId="49" fontId="5" fillId="0" borderId="0" xfId="2" applyNumberFormat="1" applyFont="1"/>
    <xf numFmtId="49" fontId="5" fillId="6" borderId="0" xfId="2" applyNumberFormat="1" applyFont="1" applyFill="1"/>
    <xf numFmtId="49" fontId="5" fillId="7" borderId="0" xfId="2" applyNumberFormat="1" applyFont="1" applyFill="1"/>
    <xf numFmtId="49" fontId="5" fillId="9" borderId="0" xfId="2" applyNumberFormat="1" applyFont="1" applyFill="1"/>
    <xf numFmtId="49" fontId="5" fillId="3" borderId="0" xfId="2" applyNumberFormat="1" applyFont="1" applyFill="1"/>
    <xf numFmtId="3" fontId="4" fillId="3" borderId="7" xfId="2" applyNumberFormat="1" applyFont="1" applyFill="1" applyBorder="1"/>
    <xf numFmtId="3" fontId="4" fillId="3" borderId="0" xfId="2" applyNumberFormat="1" applyFont="1" applyFill="1"/>
    <xf numFmtId="1" fontId="2" fillId="3" borderId="0" xfId="0" applyNumberFormat="1" applyFont="1" applyFill="1"/>
    <xf numFmtId="1" fontId="2" fillId="3" borderId="8" xfId="0" applyNumberFormat="1" applyFont="1" applyFill="1" applyBorder="1"/>
    <xf numFmtId="49" fontId="2" fillId="3" borderId="0" xfId="0" applyNumberFormat="1" applyFont="1" applyFill="1"/>
    <xf numFmtId="0" fontId="25" fillId="6" borderId="0" xfId="2" applyFont="1" applyFill="1"/>
    <xf numFmtId="0" fontId="25" fillId="6" borderId="2" xfId="2" applyFont="1" applyFill="1" applyBorder="1"/>
    <xf numFmtId="0" fontId="25" fillId="6" borderId="2" xfId="2" applyFont="1" applyFill="1" applyBorder="1" applyAlignment="1">
      <alignment horizontal="center" wrapText="1"/>
    </xf>
    <xf numFmtId="0" fontId="25" fillId="6" borderId="2" xfId="2" applyFont="1" applyFill="1" applyBorder="1" applyAlignment="1">
      <alignment horizontal="center"/>
    </xf>
    <xf numFmtId="4" fontId="25" fillId="6" borderId="2" xfId="2" applyNumberFormat="1" applyFont="1" applyFill="1" applyBorder="1" applyAlignment="1">
      <alignment horizontal="right" wrapText="1"/>
    </xf>
    <xf numFmtId="3" fontId="25" fillId="12" borderId="7" xfId="2" applyNumberFormat="1" applyFont="1" applyFill="1" applyBorder="1"/>
    <xf numFmtId="3" fontId="25" fillId="12" borderId="0" xfId="2" applyNumberFormat="1" applyFont="1" applyFill="1"/>
    <xf numFmtId="1" fontId="26" fillId="12" borderId="0" xfId="0" applyNumberFormat="1" applyFont="1" applyFill="1"/>
    <xf numFmtId="1" fontId="26" fillId="12" borderId="8" xfId="0" applyNumberFormat="1" applyFont="1" applyFill="1" applyBorder="1"/>
    <xf numFmtId="49" fontId="26" fillId="13" borderId="0" xfId="0" applyNumberFormat="1" applyFont="1" applyFill="1"/>
    <xf numFmtId="49" fontId="27" fillId="6" borderId="0" xfId="2" applyNumberFormat="1" applyFont="1" applyFill="1"/>
    <xf numFmtId="0" fontId="27" fillId="6" borderId="0" xfId="2" applyFont="1" applyFill="1"/>
    <xf numFmtId="4" fontId="4" fillId="3" borderId="3" xfId="2" applyNumberFormat="1" applyFont="1" applyFill="1" applyBorder="1"/>
    <xf numFmtId="0" fontId="9" fillId="0" borderId="0" xfId="0" applyFont="1" applyAlignment="1">
      <alignment horizontal="left"/>
    </xf>
    <xf numFmtId="4" fontId="3" fillId="0" borderId="0" xfId="2" applyNumberFormat="1"/>
    <xf numFmtId="4" fontId="3" fillId="6" borderId="0" xfId="2" applyNumberFormat="1" applyFill="1"/>
    <xf numFmtId="4" fontId="3" fillId="7" borderId="0" xfId="2" applyNumberFormat="1" applyFill="1"/>
    <xf numFmtId="4" fontId="3" fillId="8" borderId="0" xfId="2" applyNumberFormat="1" applyFill="1"/>
    <xf numFmtId="0" fontId="10" fillId="0" borderId="0" xfId="0" applyFont="1"/>
    <xf numFmtId="4" fontId="10" fillId="0" borderId="0" xfId="0" applyNumberFormat="1" applyFont="1"/>
    <xf numFmtId="0" fontId="2" fillId="0" borderId="0" xfId="0" applyFont="1"/>
    <xf numFmtId="0" fontId="4" fillId="0" borderId="0" xfId="0" applyFont="1"/>
    <xf numFmtId="0" fontId="4" fillId="0" borderId="0" xfId="3" applyFont="1" applyAlignment="1">
      <alignment horizontal="left" wrapText="1"/>
    </xf>
    <xf numFmtId="0" fontId="4" fillId="6" borderId="0" xfId="3" applyFont="1" applyFill="1" applyAlignment="1">
      <alignment horizontal="left" wrapText="1"/>
    </xf>
    <xf numFmtId="4" fontId="4" fillId="6" borderId="0" xfId="2" applyNumberFormat="1" applyFont="1" applyFill="1" applyAlignment="1">
      <alignment wrapText="1"/>
    </xf>
    <xf numFmtId="4" fontId="4" fillId="15" borderId="0" xfId="2" applyNumberFormat="1" applyFont="1" applyFill="1" applyAlignment="1">
      <alignment horizontal="right" wrapText="1"/>
    </xf>
    <xf numFmtId="4" fontId="5" fillId="0" borderId="0" xfId="2" applyNumberFormat="1" applyFont="1"/>
    <xf numFmtId="0" fontId="28" fillId="0" borderId="0" xfId="2" applyFont="1"/>
    <xf numFmtId="0" fontId="4" fillId="9" borderId="0" xfId="3" applyFont="1" applyFill="1" applyAlignment="1">
      <alignment horizontal="left" wrapText="1"/>
    </xf>
    <xf numFmtId="4" fontId="4" fillId="9" borderId="0" xfId="2" applyNumberFormat="1" applyFont="1" applyFill="1" applyAlignment="1">
      <alignment wrapText="1"/>
    </xf>
    <xf numFmtId="4" fontId="4" fillId="9" borderId="0" xfId="2" applyNumberFormat="1" applyFont="1" applyFill="1"/>
    <xf numFmtId="4" fontId="4" fillId="15" borderId="0" xfId="2" applyNumberFormat="1" applyFont="1" applyFill="1"/>
    <xf numFmtId="1" fontId="29" fillId="0" borderId="0" xfId="0" applyNumberFormat="1" applyFont="1" applyAlignment="1">
      <alignment textRotation="90" wrapText="1"/>
    </xf>
    <xf numFmtId="0" fontId="2" fillId="0" borderId="0" xfId="0" applyFont="1" applyAlignment="1">
      <alignment textRotation="90" wrapText="1"/>
    </xf>
    <xf numFmtId="0" fontId="2" fillId="3" borderId="0" xfId="0" applyFont="1" applyFill="1" applyAlignment="1">
      <alignment textRotation="90" wrapText="1"/>
    </xf>
    <xf numFmtId="1" fontId="29" fillId="0" borderId="0" xfId="0" applyNumberFormat="1" applyFont="1"/>
    <xf numFmtId="4" fontId="4" fillId="0" borderId="2" xfId="2" applyNumberFormat="1" applyFont="1" applyBorder="1" applyAlignment="1">
      <alignment wrapText="1"/>
    </xf>
    <xf numFmtId="0" fontId="4" fillId="0" borderId="4" xfId="2" applyFont="1" applyBorder="1" applyAlignment="1">
      <alignment wrapText="1"/>
    </xf>
    <xf numFmtId="1" fontId="29" fillId="3" borderId="0" xfId="0" applyNumberFormat="1" applyFont="1" applyFill="1"/>
    <xf numFmtId="0" fontId="2" fillId="3" borderId="0" xfId="0" applyFont="1" applyFill="1"/>
    <xf numFmtId="1" fontId="29" fillId="7" borderId="0" xfId="0" applyNumberFormat="1" applyFont="1" applyFill="1"/>
    <xf numFmtId="0" fontId="2" fillId="7" borderId="0" xfId="0" applyFont="1" applyFill="1"/>
    <xf numFmtId="0" fontId="4" fillId="6" borderId="0" xfId="0" applyFont="1" applyFill="1"/>
    <xf numFmtId="1" fontId="29" fillId="6" borderId="0" xfId="0" applyNumberFormat="1" applyFont="1" applyFill="1"/>
    <xf numFmtId="0" fontId="2" fillId="6" borderId="0" xfId="0" applyFont="1" applyFill="1"/>
    <xf numFmtId="0" fontId="4" fillId="0" borderId="0" xfId="0" applyFont="1" applyAlignment="1">
      <alignment wrapText="1"/>
    </xf>
    <xf numFmtId="4" fontId="4" fillId="7" borderId="0" xfId="2" applyNumberFormat="1" applyFont="1" applyFill="1" applyAlignment="1">
      <alignment wrapText="1"/>
    </xf>
    <xf numFmtId="4" fontId="4" fillId="7" borderId="0" xfId="2" applyNumberFormat="1" applyFont="1" applyFill="1"/>
    <xf numFmtId="4" fontId="4" fillId="0" borderId="2" xfId="0" applyNumberFormat="1" applyFont="1" applyBorder="1" applyAlignment="1">
      <alignment wrapText="1"/>
    </xf>
    <xf numFmtId="4" fontId="4" fillId="15" borderId="2" xfId="2" applyNumberFormat="1" applyFont="1" applyFill="1" applyBorder="1" applyAlignment="1">
      <alignment horizontal="right" wrapText="1"/>
    </xf>
    <xf numFmtId="0" fontId="4" fillId="3" borderId="0" xfId="0" applyFont="1" applyFill="1" applyAlignment="1">
      <alignment wrapText="1"/>
    </xf>
    <xf numFmtId="4" fontId="4" fillId="3" borderId="0" xfId="0" applyNumberFormat="1" applyFont="1" applyFill="1" applyAlignment="1">
      <alignment wrapText="1"/>
    </xf>
    <xf numFmtId="4" fontId="4" fillId="0" borderId="2" xfId="3" applyNumberFormat="1" applyFont="1" applyBorder="1" applyAlignment="1">
      <alignment horizontal="right" wrapText="1"/>
    </xf>
    <xf numFmtId="4" fontId="4" fillId="0" borderId="0" xfId="3" applyNumberFormat="1" applyFont="1" applyAlignment="1">
      <alignment horizontal="right" wrapText="1"/>
    </xf>
    <xf numFmtId="4" fontId="4" fillId="3" borderId="0" xfId="2" applyNumberFormat="1" applyFont="1" applyFill="1" applyAlignment="1">
      <alignment wrapText="1"/>
    </xf>
    <xf numFmtId="4" fontId="4" fillId="14" borderId="0" xfId="2" applyNumberFormat="1" applyFont="1" applyFill="1" applyAlignment="1">
      <alignment wrapText="1"/>
    </xf>
    <xf numFmtId="0" fontId="4" fillId="0" borderId="10" xfId="2" applyFont="1" applyBorder="1" applyAlignment="1">
      <alignment horizontal="center" textRotation="90"/>
    </xf>
    <xf numFmtId="0" fontId="4" fillId="0" borderId="10" xfId="2" applyFont="1" applyBorder="1" applyAlignment="1">
      <alignment horizontal="center" wrapText="1"/>
    </xf>
    <xf numFmtId="4" fontId="3" fillId="3" borderId="0" xfId="2" applyNumberFormat="1" applyFill="1"/>
    <xf numFmtId="0" fontId="30" fillId="0" borderId="2" xfId="0" applyFont="1" applyBorder="1" applyAlignment="1">
      <alignment horizontal="center" wrapText="1"/>
    </xf>
    <xf numFmtId="4" fontId="31" fillId="6" borderId="2" xfId="2" applyNumberFormat="1" applyFont="1" applyFill="1" applyBorder="1" applyAlignment="1">
      <alignment horizontal="right" wrapText="1"/>
    </xf>
    <xf numFmtId="4" fontId="30" fillId="6" borderId="2" xfId="2" applyNumberFormat="1" applyFont="1" applyFill="1" applyBorder="1" applyAlignment="1">
      <alignment horizontal="right" wrapText="1"/>
    </xf>
    <xf numFmtId="4" fontId="30" fillId="6" borderId="2" xfId="2" applyNumberFormat="1" applyFont="1" applyFill="1" applyBorder="1" applyAlignment="1">
      <alignment horizontal="right"/>
    </xf>
    <xf numFmtId="4" fontId="30" fillId="6" borderId="2" xfId="2" applyNumberFormat="1" applyFont="1" applyFill="1" applyBorder="1"/>
    <xf numFmtId="4" fontId="30" fillId="7" borderId="2" xfId="2" applyNumberFormat="1" applyFont="1" applyFill="1" applyBorder="1" applyAlignment="1">
      <alignment horizontal="right" wrapText="1"/>
    </xf>
    <xf numFmtId="4" fontId="30" fillId="9" borderId="2" xfId="2" applyNumberFormat="1" applyFont="1" applyFill="1" applyBorder="1"/>
    <xf numFmtId="4" fontId="30" fillId="3" borderId="2" xfId="2" applyNumberFormat="1" applyFont="1" applyFill="1" applyBorder="1" applyAlignment="1">
      <alignment horizontal="right" wrapText="1"/>
    </xf>
    <xf numFmtId="4" fontId="30" fillId="7" borderId="2" xfId="2" applyNumberFormat="1" applyFont="1" applyFill="1" applyBorder="1"/>
    <xf numFmtId="4" fontId="30" fillId="9" borderId="2" xfId="2" applyNumberFormat="1" applyFont="1" applyFill="1" applyBorder="1" applyAlignment="1">
      <alignment horizontal="right" wrapText="1"/>
    </xf>
    <xf numFmtId="4" fontId="30" fillId="3" borderId="2" xfId="2" applyNumberFormat="1" applyFont="1" applyFill="1" applyBorder="1"/>
    <xf numFmtId="4" fontId="30" fillId="0" borderId="2" xfId="2" applyNumberFormat="1" applyFont="1" applyBorder="1" applyAlignment="1">
      <alignment horizontal="right" wrapText="1"/>
    </xf>
    <xf numFmtId="4" fontId="30" fillId="10" borderId="2" xfId="2" applyNumberFormat="1" applyFont="1" applyFill="1" applyBorder="1"/>
    <xf numFmtId="4" fontId="30" fillId="9" borderId="2" xfId="2" applyNumberFormat="1" applyFont="1" applyFill="1" applyBorder="1" applyAlignment="1">
      <alignment wrapText="1"/>
    </xf>
    <xf numFmtId="4" fontId="30" fillId="6" borderId="2" xfId="2" applyNumberFormat="1" applyFont="1" applyFill="1" applyBorder="1" applyAlignment="1">
      <alignment wrapText="1"/>
    </xf>
    <xf numFmtId="4" fontId="30" fillId="7" borderId="2" xfId="2" applyNumberFormat="1" applyFont="1" applyFill="1" applyBorder="1" applyAlignment="1">
      <alignment wrapText="1"/>
    </xf>
    <xf numFmtId="4" fontId="30" fillId="0" borderId="2" xfId="2" applyNumberFormat="1" applyFont="1" applyBorder="1"/>
    <xf numFmtId="4" fontId="30" fillId="6" borderId="0" xfId="2" applyNumberFormat="1" applyFont="1" applyFill="1" applyAlignment="1">
      <alignment wrapText="1"/>
    </xf>
    <xf numFmtId="4" fontId="30" fillId="9" borderId="0" xfId="2" applyNumberFormat="1" applyFont="1" applyFill="1" applyAlignment="1">
      <alignment wrapText="1"/>
    </xf>
    <xf numFmtId="4" fontId="30" fillId="0" borderId="0" xfId="2" applyNumberFormat="1" applyFont="1"/>
    <xf numFmtId="4" fontId="30" fillId="0" borderId="0" xfId="2" applyNumberFormat="1" applyFont="1" applyAlignment="1">
      <alignment wrapText="1"/>
    </xf>
    <xf numFmtId="4" fontId="30" fillId="6" borderId="0" xfId="2" applyNumberFormat="1" applyFont="1" applyFill="1"/>
    <xf numFmtId="4" fontId="30" fillId="7" borderId="0" xfId="2" applyNumberFormat="1" applyFont="1" applyFill="1" applyAlignment="1">
      <alignment wrapText="1"/>
    </xf>
    <xf numFmtId="4" fontId="30" fillId="3" borderId="0" xfId="2" applyNumberFormat="1" applyFont="1" applyFill="1" applyAlignment="1">
      <alignment wrapText="1"/>
    </xf>
    <xf numFmtId="4" fontId="30" fillId="14" borderId="0" xfId="2" applyNumberFormat="1" applyFont="1" applyFill="1" applyAlignment="1">
      <alignment wrapText="1"/>
    </xf>
    <xf numFmtId="4" fontId="30" fillId="3" borderId="0" xfId="2" applyNumberFormat="1" applyFont="1" applyFill="1"/>
    <xf numFmtId="4" fontId="30" fillId="0" borderId="2" xfId="2" applyNumberFormat="1" applyFont="1" applyBorder="1" applyAlignment="1">
      <alignment horizontal="center" wrapText="1"/>
    </xf>
    <xf numFmtId="4" fontId="31" fillId="6" borderId="2" xfId="2" applyNumberFormat="1" applyFont="1" applyFill="1" applyBorder="1"/>
    <xf numFmtId="4" fontId="30" fillId="7" borderId="4" xfId="2" applyNumberFormat="1" applyFont="1" applyFill="1" applyBorder="1"/>
    <xf numFmtId="4" fontId="30" fillId="14" borderId="2" xfId="2" applyNumberFormat="1" applyFont="1" applyFill="1" applyBorder="1"/>
    <xf numFmtId="4" fontId="30" fillId="7" borderId="0" xfId="2" applyNumberFormat="1" applyFont="1" applyFill="1"/>
    <xf numFmtId="3" fontId="5" fillId="3" borderId="7" xfId="2" applyNumberFormat="1" applyFont="1" applyFill="1" applyBorder="1"/>
    <xf numFmtId="3" fontId="5" fillId="3" borderId="0" xfId="2" applyNumberFormat="1" applyFont="1" applyFill="1"/>
    <xf numFmtId="0" fontId="25" fillId="16" borderId="2" xfId="2" applyFont="1" applyFill="1" applyBorder="1" applyAlignment="1">
      <alignment horizontal="center" textRotation="90"/>
    </xf>
    <xf numFmtId="0" fontId="25" fillId="16" borderId="2" xfId="2" applyFont="1" applyFill="1" applyBorder="1" applyAlignment="1">
      <alignment horizontal="left" wrapText="1"/>
    </xf>
    <xf numFmtId="4" fontId="18" fillId="16" borderId="2" xfId="2" applyNumberFormat="1" applyFont="1" applyFill="1" applyBorder="1" applyAlignment="1">
      <alignment horizontal="right" wrapText="1"/>
    </xf>
    <xf numFmtId="0" fontId="25" fillId="9" borderId="2" xfId="2" applyFont="1" applyFill="1" applyBorder="1" applyAlignment="1">
      <alignment horizontal="center" textRotation="90"/>
    </xf>
    <xf numFmtId="0" fontId="25" fillId="9" borderId="2" xfId="2" applyFont="1" applyFill="1" applyBorder="1" applyAlignment="1">
      <alignment horizontal="left" wrapText="1"/>
    </xf>
    <xf numFmtId="4" fontId="18" fillId="9" borderId="2" xfId="2" applyNumberFormat="1" applyFont="1" applyFill="1" applyBorder="1" applyAlignment="1">
      <alignment horizontal="right" wrapText="1"/>
    </xf>
    <xf numFmtId="4" fontId="18" fillId="6" borderId="2" xfId="2" applyNumberFormat="1" applyFont="1" applyFill="1" applyBorder="1"/>
    <xf numFmtId="0" fontId="25" fillId="6" borderId="3" xfId="2" applyFont="1" applyFill="1" applyBorder="1"/>
    <xf numFmtId="0" fontId="25" fillId="6" borderId="2" xfId="2" applyFont="1" applyFill="1" applyBorder="1" applyAlignment="1">
      <alignment wrapText="1"/>
    </xf>
    <xf numFmtId="4" fontId="7" fillId="0" borderId="0" xfId="2" applyNumberFormat="1" applyFont="1"/>
    <xf numFmtId="4" fontId="18" fillId="6" borderId="0" xfId="2" applyNumberFormat="1" applyFont="1" applyFill="1"/>
    <xf numFmtId="4" fontId="31" fillId="6" borderId="0" xfId="2" applyNumberFormat="1" applyFont="1" applyFill="1"/>
    <xf numFmtId="0" fontId="25" fillId="7" borderId="0" xfId="2" applyFont="1" applyFill="1"/>
    <xf numFmtId="0" fontId="25" fillId="7" borderId="4" xfId="2" applyFont="1" applyFill="1" applyBorder="1" applyAlignment="1">
      <alignment wrapText="1"/>
    </xf>
    <xf numFmtId="4" fontId="18" fillId="7" borderId="0" xfId="2" applyNumberFormat="1" applyFont="1" applyFill="1"/>
    <xf numFmtId="4" fontId="31" fillId="7" borderId="0" xfId="2" applyNumberFormat="1" applyFont="1" applyFill="1"/>
    <xf numFmtId="0" fontId="25" fillId="7" borderId="2" xfId="2" applyFont="1" applyFill="1" applyBorder="1" applyAlignment="1">
      <alignment wrapText="1"/>
    </xf>
    <xf numFmtId="0" fontId="25" fillId="6" borderId="0" xfId="2" applyFont="1" applyFill="1" applyAlignment="1">
      <alignment wrapText="1"/>
    </xf>
    <xf numFmtId="0" fontId="25" fillId="6" borderId="2" xfId="0" applyFont="1" applyFill="1" applyBorder="1"/>
    <xf numFmtId="4" fontId="7" fillId="6" borderId="0" xfId="2" applyNumberFormat="1" applyFont="1" applyFill="1"/>
    <xf numFmtId="4" fontId="5" fillId="4" borderId="0" xfId="2" applyNumberFormat="1" applyFont="1" applyFill="1"/>
    <xf numFmtId="4" fontId="7" fillId="4" borderId="0" xfId="2" applyNumberFormat="1" applyFont="1" applyFill="1"/>
    <xf numFmtId="4" fontId="18" fillId="4" borderId="0" xfId="2" applyNumberFormat="1" applyFont="1" applyFill="1"/>
    <xf numFmtId="4" fontId="31" fillId="16" borderId="2" xfId="2" applyNumberFormat="1" applyFont="1" applyFill="1" applyBorder="1" applyAlignment="1">
      <alignment horizontal="right" wrapText="1"/>
    </xf>
    <xf numFmtId="4" fontId="31" fillId="9" borderId="2" xfId="2" applyNumberFormat="1" applyFont="1" applyFill="1" applyBorder="1" applyAlignment="1">
      <alignment horizontal="right" wrapText="1"/>
    </xf>
    <xf numFmtId="0" fontId="25" fillId="16" borderId="2" xfId="2" applyFont="1" applyFill="1" applyBorder="1" applyAlignment="1">
      <alignment horizontal="center" wrapText="1"/>
    </xf>
    <xf numFmtId="0" fontId="25" fillId="16" borderId="2" xfId="2" applyFont="1" applyFill="1" applyBorder="1" applyAlignment="1">
      <alignment horizontal="center"/>
    </xf>
    <xf numFmtId="4" fontId="25" fillId="16" borderId="2" xfId="2" applyNumberFormat="1" applyFont="1" applyFill="1" applyBorder="1" applyAlignment="1">
      <alignment horizontal="right" wrapText="1"/>
    </xf>
    <xf numFmtId="0" fontId="25" fillId="9" borderId="2" xfId="2" applyFont="1" applyFill="1" applyBorder="1" applyAlignment="1">
      <alignment horizontal="center" wrapText="1"/>
    </xf>
    <xf numFmtId="0" fontId="25" fillId="9" borderId="2" xfId="2" applyFont="1" applyFill="1" applyBorder="1" applyAlignment="1">
      <alignment horizontal="center"/>
    </xf>
    <xf numFmtId="4" fontId="25" fillId="9" borderId="2" xfId="2" applyNumberFormat="1" applyFont="1" applyFill="1" applyBorder="1" applyAlignment="1">
      <alignment horizontal="right" wrapText="1"/>
    </xf>
    <xf numFmtId="4" fontId="7" fillId="3" borderId="2" xfId="2" applyNumberFormat="1" applyFont="1" applyFill="1" applyBorder="1"/>
    <xf numFmtId="0" fontId="30" fillId="0" borderId="2" xfId="2" applyFont="1" applyBorder="1"/>
    <xf numFmtId="0" fontId="30" fillId="3" borderId="2" xfId="2" applyFont="1" applyFill="1" applyBorder="1"/>
    <xf numFmtId="0" fontId="30" fillId="3" borderId="2" xfId="2" applyFont="1" applyFill="1" applyBorder="1" applyAlignment="1">
      <alignment wrapText="1"/>
    </xf>
    <xf numFmtId="4" fontId="30" fillId="3" borderId="2" xfId="2" applyNumberFormat="1" applyFont="1" applyFill="1" applyBorder="1" applyAlignment="1">
      <alignment wrapText="1"/>
    </xf>
    <xf numFmtId="4" fontId="30" fillId="3" borderId="3" xfId="2" applyNumberFormat="1" applyFont="1" applyFill="1" applyBorder="1"/>
    <xf numFmtId="3" fontId="30" fillId="12" borderId="7" xfId="2" applyNumberFormat="1" applyFont="1" applyFill="1" applyBorder="1"/>
    <xf numFmtId="3" fontId="30" fillId="12" borderId="0" xfId="2" applyNumberFormat="1" applyFont="1" applyFill="1"/>
    <xf numFmtId="1" fontId="32" fillId="12" borderId="0" xfId="0" applyNumberFormat="1" applyFont="1" applyFill="1"/>
    <xf numFmtId="1" fontId="32" fillId="12" borderId="8" xfId="0" applyNumberFormat="1" applyFont="1" applyFill="1" applyBorder="1"/>
    <xf numFmtId="49" fontId="32" fillId="13" borderId="0" xfId="0" applyNumberFormat="1" applyFont="1" applyFill="1"/>
    <xf numFmtId="49" fontId="8" fillId="3" borderId="0" xfId="2" applyNumberFormat="1" applyFont="1" applyFill="1"/>
    <xf numFmtId="0" fontId="8" fillId="3" borderId="0" xfId="2" applyFont="1" applyFill="1"/>
    <xf numFmtId="4" fontId="30" fillId="6" borderId="3" xfId="2" applyNumberFormat="1" applyFont="1" applyFill="1" applyBorder="1"/>
    <xf numFmtId="49" fontId="8" fillId="0" borderId="0" xfId="2" applyNumberFormat="1" applyFont="1"/>
    <xf numFmtId="0" fontId="30" fillId="0" borderId="0" xfId="2" applyFont="1"/>
    <xf numFmtId="0" fontId="30" fillId="0" borderId="0" xfId="2" applyFont="1" applyAlignment="1">
      <alignment wrapText="1"/>
    </xf>
    <xf numFmtId="4" fontId="8" fillId="5" borderId="0" xfId="2" applyNumberFormat="1" applyFont="1" applyFill="1"/>
    <xf numFmtId="3" fontId="8" fillId="12" borderId="7" xfId="2" applyNumberFormat="1" applyFont="1" applyFill="1" applyBorder="1"/>
    <xf numFmtId="3" fontId="8" fillId="12" borderId="0" xfId="2" applyNumberFormat="1" applyFont="1" applyFill="1"/>
    <xf numFmtId="0" fontId="4" fillId="17" borderId="2" xfId="2" applyFont="1" applyFill="1" applyBorder="1"/>
    <xf numFmtId="3" fontId="30" fillId="3" borderId="7" xfId="2" applyNumberFormat="1" applyFont="1" applyFill="1" applyBorder="1"/>
    <xf numFmtId="3" fontId="30" fillId="3" borderId="0" xfId="2" applyNumberFormat="1" applyFont="1" applyFill="1"/>
    <xf numFmtId="1" fontId="32" fillId="3" borderId="0" xfId="0" applyNumberFormat="1" applyFont="1" applyFill="1"/>
    <xf numFmtId="1" fontId="32" fillId="3" borderId="8" xfId="0" applyNumberFormat="1" applyFont="1" applyFill="1" applyBorder="1"/>
    <xf numFmtId="49" fontId="32" fillId="3" borderId="0" xfId="0" applyNumberFormat="1" applyFont="1" applyFill="1"/>
    <xf numFmtId="0" fontId="4" fillId="3" borderId="2" xfId="0" applyFont="1" applyFill="1" applyBorder="1" applyAlignment="1">
      <alignment wrapText="1"/>
    </xf>
    <xf numFmtId="4" fontId="4" fillId="3" borderId="2" xfId="0" applyNumberFormat="1" applyFont="1" applyFill="1" applyBorder="1" applyAlignment="1">
      <alignment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0" fontId="10" fillId="0" borderId="0" xfId="0" applyNumberFormat="1" applyFont="1"/>
    <xf numFmtId="0" fontId="10" fillId="18" borderId="0" xfId="0" applyFont="1" applyFill="1"/>
    <xf numFmtId="0" fontId="20" fillId="18" borderId="0" xfId="0" applyFont="1" applyFill="1"/>
    <xf numFmtId="0" fontId="20" fillId="3" borderId="0" xfId="0" applyFont="1" applyFill="1"/>
    <xf numFmtId="0" fontId="10" fillId="0" borderId="2" xfId="4" applyFont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18" borderId="2" xfId="0" applyFont="1" applyFill="1" applyBorder="1"/>
    <xf numFmtId="4" fontId="10" fillId="18" borderId="2" xfId="0" applyNumberFormat="1" applyFont="1" applyFill="1" applyBorder="1"/>
    <xf numFmtId="10" fontId="10" fillId="18" borderId="2" xfId="0" applyNumberFormat="1" applyFont="1" applyFill="1" applyBorder="1"/>
    <xf numFmtId="0" fontId="10" fillId="0" borderId="2" xfId="0" applyFont="1" applyBorder="1"/>
    <xf numFmtId="4" fontId="10" fillId="0" borderId="2" xfId="0" applyNumberFormat="1" applyFont="1" applyBorder="1"/>
    <xf numFmtId="10" fontId="10" fillId="0" borderId="2" xfId="0" applyNumberFormat="1" applyFont="1" applyBorder="1"/>
    <xf numFmtId="10" fontId="10" fillId="3" borderId="2" xfId="0" applyNumberFormat="1" applyFont="1" applyFill="1" applyBorder="1"/>
    <xf numFmtId="4" fontId="10" fillId="3" borderId="2" xfId="0" applyNumberFormat="1" applyFont="1" applyFill="1" applyBorder="1"/>
    <xf numFmtId="0" fontId="23" fillId="0" borderId="0" xfId="0" applyFont="1" applyAlignment="1">
      <alignment horizontal="center"/>
    </xf>
    <xf numFmtId="0" fontId="15" fillId="3" borderId="0" xfId="1" applyFont="1" applyFill="1" applyBorder="1" applyAlignment="1">
      <alignment horizontal="center"/>
    </xf>
    <xf numFmtId="4" fontId="9" fillId="0" borderId="0" xfId="0" applyNumberFormat="1" applyFont="1"/>
    <xf numFmtId="10" fontId="9" fillId="0" borderId="0" xfId="0" applyNumberFormat="1" applyFont="1"/>
    <xf numFmtId="0" fontId="23" fillId="3" borderId="0" xfId="1" applyFont="1" applyFill="1" applyBorder="1" applyAlignment="1">
      <alignment horizontal="center"/>
    </xf>
    <xf numFmtId="0" fontId="22" fillId="0" borderId="0" xfId="4" applyFont="1" applyBorder="1"/>
    <xf numFmtId="4" fontId="22" fillId="0" borderId="0" xfId="4" applyNumberFormat="1" applyFont="1" applyBorder="1"/>
    <xf numFmtId="1" fontId="10" fillId="0" borderId="2" xfId="4" applyNumberFormat="1" applyFont="1" applyBorder="1" applyAlignment="1">
      <alignment horizontal="center" wrapText="1"/>
    </xf>
    <xf numFmtId="1" fontId="10" fillId="0" borderId="2" xfId="4" applyNumberFormat="1" applyFont="1" applyBorder="1" applyAlignment="1">
      <alignment horizontal="center"/>
    </xf>
    <xf numFmtId="0" fontId="16" fillId="0" borderId="2" xfId="0" applyFont="1" applyBorder="1"/>
    <xf numFmtId="0" fontId="9" fillId="0" borderId="2" xfId="0" applyFont="1" applyBorder="1"/>
    <xf numFmtId="0" fontId="9" fillId="3" borderId="2" xfId="2" applyFont="1" applyFill="1" applyBorder="1" applyAlignment="1">
      <alignment wrapText="1"/>
    </xf>
    <xf numFmtId="4" fontId="9" fillId="0" borderId="2" xfId="0" applyNumberFormat="1" applyFont="1" applyBorder="1"/>
    <xf numFmtId="10" fontId="9" fillId="0" borderId="2" xfId="0" applyNumberFormat="1" applyFont="1" applyBorder="1"/>
    <xf numFmtId="0" fontId="9" fillId="3" borderId="2" xfId="2" applyFont="1" applyFill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7" fillId="18" borderId="2" xfId="0" applyFont="1" applyFill="1" applyBorder="1"/>
    <xf numFmtId="0" fontId="14" fillId="18" borderId="0" xfId="0" applyFont="1" applyFill="1"/>
    <xf numFmtId="0" fontId="9" fillId="0" borderId="2" xfId="0" applyFont="1" applyBorder="1" applyAlignment="1">
      <alignment wrapText="1"/>
    </xf>
    <xf numFmtId="0" fontId="33" fillId="0" borderId="0" xfId="0" applyFont="1"/>
    <xf numFmtId="4" fontId="33" fillId="0" borderId="0" xfId="0" applyNumberFormat="1" applyFont="1"/>
    <xf numFmtId="4" fontId="16" fillId="0" borderId="0" xfId="0" applyNumberFormat="1" applyFont="1"/>
    <xf numFmtId="0" fontId="17" fillId="18" borderId="0" xfId="0" applyFont="1" applyFill="1"/>
    <xf numFmtId="0" fontId="15" fillId="18" borderId="0" xfId="0" applyFont="1" applyFill="1"/>
    <xf numFmtId="4" fontId="9" fillId="3" borderId="2" xfId="0" applyNumberFormat="1" applyFont="1" applyFill="1" applyBorder="1"/>
    <xf numFmtId="0" fontId="16" fillId="18" borderId="2" xfId="0" applyFont="1" applyFill="1" applyBorder="1"/>
    <xf numFmtId="0" fontId="16" fillId="18" borderId="0" xfId="0" applyFont="1" applyFill="1"/>
    <xf numFmtId="0" fontId="13" fillId="18" borderId="0" xfId="0" applyFont="1" applyFill="1"/>
    <xf numFmtId="0" fontId="10" fillId="18" borderId="2" xfId="0" applyFont="1" applyFill="1" applyBorder="1" applyAlignment="1">
      <alignment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18" borderId="2" xfId="4" applyFont="1" applyFill="1" applyBorder="1" applyAlignment="1">
      <alignment horizontal="center"/>
    </xf>
    <xf numFmtId="0" fontId="10" fillId="18" borderId="2" xfId="4" applyFont="1" applyFill="1" applyBorder="1" applyAlignment="1">
      <alignment horizontal="left"/>
    </xf>
    <xf numFmtId="0" fontId="9" fillId="18" borderId="0" xfId="0" applyFont="1" applyFill="1"/>
    <xf numFmtId="0" fontId="9" fillId="18" borderId="2" xfId="0" applyFont="1" applyFill="1" applyBorder="1"/>
    <xf numFmtId="0" fontId="10" fillId="18" borderId="2" xfId="0" applyFont="1" applyFill="1" applyBorder="1" applyAlignment="1">
      <alignment horizontal="center"/>
    </xf>
    <xf numFmtId="0" fontId="10" fillId="18" borderId="0" xfId="0" applyFont="1" applyFill="1" applyAlignment="1">
      <alignment vertical="center"/>
    </xf>
    <xf numFmtId="0" fontId="10" fillId="18" borderId="0" xfId="0" applyFont="1" applyFill="1" applyAlignment="1">
      <alignment vertical="center" wrapText="1"/>
    </xf>
    <xf numFmtId="0" fontId="10" fillId="0" borderId="0" xfId="0" applyFont="1" applyAlignment="1">
      <alignment wrapText="1"/>
    </xf>
    <xf numFmtId="4" fontId="10" fillId="18" borderId="2" xfId="4" applyNumberFormat="1" applyFont="1" applyFill="1" applyBorder="1" applyAlignment="1">
      <alignment horizontal="right" wrapText="1"/>
    </xf>
    <xf numFmtId="10" fontId="10" fillId="18" borderId="2" xfId="0" applyNumberFormat="1" applyFont="1" applyFill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10" fontId="9" fillId="0" borderId="2" xfId="0" applyNumberFormat="1" applyFont="1" applyBorder="1" applyAlignment="1">
      <alignment horizontal="right"/>
    </xf>
    <xf numFmtId="4" fontId="10" fillId="18" borderId="2" xfId="0" applyNumberFormat="1" applyFont="1" applyFill="1" applyBorder="1" applyAlignment="1">
      <alignment horizontal="right"/>
    </xf>
    <xf numFmtId="4" fontId="9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2" xfId="4" applyFont="1" applyFill="1" applyBorder="1" applyAlignment="1">
      <alignment horizontal="right" vertical="center" wrapText="1"/>
    </xf>
    <xf numFmtId="0" fontId="9" fillId="3" borderId="0" xfId="0" applyFont="1" applyFill="1"/>
    <xf numFmtId="0" fontId="16" fillId="3" borderId="0" xfId="0" applyFont="1" applyFill="1"/>
    <xf numFmtId="49" fontId="9" fillId="0" borderId="2" xfId="5" applyNumberFormat="1" applyFont="1" applyBorder="1" applyAlignment="1" applyProtection="1">
      <alignment horizontal="left" vertical="center" wrapText="1"/>
      <protection hidden="1"/>
    </xf>
    <xf numFmtId="49" fontId="9" fillId="0" borderId="2" xfId="0" applyNumberFormat="1" applyFont="1" applyBorder="1" applyAlignment="1" applyProtection="1">
      <alignment horizontal="left" vertical="center" wrapText="1"/>
      <protection hidden="1"/>
    </xf>
    <xf numFmtId="49" fontId="9" fillId="0" borderId="2" xfId="0" applyNumberFormat="1" applyFont="1" applyBorder="1" applyAlignment="1" applyProtection="1">
      <alignment horizontal="left" vertical="center"/>
      <protection hidden="1"/>
    </xf>
    <xf numFmtId="49" fontId="10" fillId="18" borderId="2" xfId="5" applyNumberFormat="1" applyFont="1" applyFill="1" applyBorder="1" applyAlignment="1" applyProtection="1">
      <alignment horizontal="left" vertical="center" wrapText="1"/>
      <protection hidden="1"/>
    </xf>
    <xf numFmtId="49" fontId="10" fillId="18" borderId="2" xfId="0" applyNumberFormat="1" applyFont="1" applyFill="1" applyBorder="1" applyAlignment="1" applyProtection="1">
      <alignment horizontal="left" vertical="center"/>
      <protection hidden="1"/>
    </xf>
    <xf numFmtId="10" fontId="9" fillId="18" borderId="2" xfId="0" applyNumberFormat="1" applyFont="1" applyFill="1" applyBorder="1"/>
    <xf numFmtId="0" fontId="0" fillId="18" borderId="0" xfId="0" applyFill="1"/>
    <xf numFmtId="4" fontId="9" fillId="18" borderId="2" xfId="0" applyNumberFormat="1" applyFont="1" applyFill="1" applyBorder="1" applyAlignment="1">
      <alignment horizontal="right"/>
    </xf>
    <xf numFmtId="10" fontId="9" fillId="18" borderId="2" xfId="0" applyNumberFormat="1" applyFont="1" applyFill="1" applyBorder="1" applyAlignment="1">
      <alignment horizontal="right"/>
    </xf>
    <xf numFmtId="0" fontId="34" fillId="0" borderId="0" xfId="0" applyFont="1"/>
    <xf numFmtId="4" fontId="10" fillId="18" borderId="2" xfId="4" applyNumberFormat="1" applyFont="1" applyFill="1" applyBorder="1"/>
    <xf numFmtId="10" fontId="10" fillId="18" borderId="2" xfId="4" applyNumberFormat="1" applyFont="1" applyFill="1" applyBorder="1"/>
    <xf numFmtId="0" fontId="10" fillId="18" borderId="2" xfId="4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0" fillId="3" borderId="0" xfId="1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 vertical="center"/>
    </xf>
    <xf numFmtId="0" fontId="10" fillId="18" borderId="10" xfId="4" applyFont="1" applyFill="1" applyBorder="1"/>
    <xf numFmtId="1" fontId="10" fillId="18" borderId="1" xfId="1" applyNumberFormat="1" applyFont="1" applyFill="1" applyAlignment="1">
      <alignment horizontal="left"/>
    </xf>
    <xf numFmtId="0" fontId="9" fillId="18" borderId="0" xfId="0" applyFont="1" applyFill="1" applyAlignment="1">
      <alignment horizontal="center"/>
    </xf>
    <xf numFmtId="0" fontId="10" fillId="18" borderId="12" xfId="0" applyFont="1" applyFill="1" applyBorder="1" applyAlignment="1">
      <alignment horizontal="center" vertical="center" textRotation="90"/>
    </xf>
    <xf numFmtId="0" fontId="9" fillId="18" borderId="12" xfId="4" applyFont="1" applyFill="1" applyBorder="1"/>
    <xf numFmtId="0" fontId="10" fillId="18" borderId="12" xfId="4" applyFont="1" applyFill="1" applyBorder="1"/>
    <xf numFmtId="0" fontId="10" fillId="18" borderId="12" xfId="4" applyFont="1" applyFill="1" applyBorder="1" applyAlignment="1">
      <alignment textRotation="89" wrapText="1"/>
    </xf>
    <xf numFmtId="4" fontId="9" fillId="18" borderId="0" xfId="0" applyNumberFormat="1" applyFont="1" applyFill="1" applyAlignment="1">
      <alignment horizontal="center"/>
    </xf>
    <xf numFmtId="0" fontId="9" fillId="18" borderId="12" xfId="0" applyFont="1" applyFill="1" applyBorder="1" applyAlignment="1">
      <alignment horizontal="center" vertical="center"/>
    </xf>
    <xf numFmtId="0" fontId="10" fillId="18" borderId="12" xfId="4" applyFont="1" applyFill="1" applyBorder="1" applyAlignment="1">
      <alignment horizontal="center" wrapText="1"/>
    </xf>
    <xf numFmtId="0" fontId="10" fillId="18" borderId="12" xfId="4" applyFont="1" applyFill="1" applyBorder="1" applyAlignment="1">
      <alignment horizontal="center"/>
    </xf>
    <xf numFmtId="1" fontId="10" fillId="18" borderId="12" xfId="4" applyNumberFormat="1" applyFont="1" applyFill="1" applyBorder="1" applyAlignment="1">
      <alignment horizontal="center" wrapText="1"/>
    </xf>
    <xf numFmtId="1" fontId="10" fillId="18" borderId="12" xfId="4" applyNumberFormat="1" applyFont="1" applyFill="1" applyBorder="1" applyAlignment="1">
      <alignment horizontal="center"/>
    </xf>
    <xf numFmtId="0" fontId="10" fillId="18" borderId="12" xfId="4" applyFont="1" applyFill="1" applyBorder="1" applyAlignment="1">
      <alignment horizontal="center" vertical="center"/>
    </xf>
    <xf numFmtId="4" fontId="10" fillId="18" borderId="12" xfId="4" applyNumberFormat="1" applyFont="1" applyFill="1" applyBorder="1"/>
    <xf numFmtId="10" fontId="10" fillId="18" borderId="12" xfId="4" applyNumberFormat="1" applyFont="1" applyFill="1" applyBorder="1"/>
    <xf numFmtId="4" fontId="10" fillId="18" borderId="5" xfId="4" applyNumberFormat="1" applyFont="1" applyFill="1" applyAlignment="1">
      <alignment horizontal="left"/>
    </xf>
    <xf numFmtId="4" fontId="10" fillId="18" borderId="5" xfId="4" applyNumberFormat="1" applyFont="1" applyFill="1" applyAlignment="1">
      <alignment horizontal="center"/>
    </xf>
    <xf numFmtId="0" fontId="10" fillId="18" borderId="5" xfId="4" applyFont="1" applyFill="1" applyAlignment="1">
      <alignment horizontal="center"/>
    </xf>
    <xf numFmtId="0" fontId="10" fillId="18" borderId="5" xfId="4" applyFont="1" applyFill="1"/>
    <xf numFmtId="1" fontId="10" fillId="18" borderId="5" xfId="4" applyNumberFormat="1" applyFont="1" applyFill="1" applyAlignment="1">
      <alignment horizontal="left"/>
    </xf>
    <xf numFmtId="0" fontId="10" fillId="18" borderId="2" xfId="4" applyFont="1" applyFill="1" applyBorder="1"/>
    <xf numFmtId="0" fontId="10" fillId="18" borderId="0" xfId="0" applyFont="1" applyFill="1" applyAlignment="1">
      <alignment horizontal="center" vertical="center"/>
    </xf>
    <xf numFmtId="0" fontId="10" fillId="18" borderId="0" xfId="0" applyFont="1" applyFill="1" applyAlignment="1">
      <alignment horizontal="left"/>
    </xf>
    <xf numFmtId="4" fontId="10" fillId="18" borderId="0" xfId="0" applyNumberFormat="1" applyFont="1" applyFill="1"/>
    <xf numFmtId="10" fontId="10" fillId="18" borderId="0" xfId="0" applyNumberFormat="1" applyFont="1" applyFill="1"/>
    <xf numFmtId="1" fontId="10" fillId="18" borderId="0" xfId="0" applyNumberFormat="1" applyFont="1" applyFill="1" applyAlignment="1">
      <alignment horizontal="left"/>
    </xf>
    <xf numFmtId="4" fontId="10" fillId="18" borderId="0" xfId="0" applyNumberFormat="1" applyFont="1" applyFill="1" applyAlignment="1">
      <alignment horizontal="center"/>
    </xf>
    <xf numFmtId="0" fontId="10" fillId="18" borderId="0" xfId="0" applyFont="1" applyFill="1" applyAlignment="1">
      <alignment horizontal="center"/>
    </xf>
    <xf numFmtId="49" fontId="10" fillId="18" borderId="0" xfId="0" applyNumberFormat="1" applyFont="1" applyFill="1"/>
    <xf numFmtId="4" fontId="10" fillId="18" borderId="0" xfId="0" applyNumberFormat="1" applyFont="1" applyFill="1" applyAlignment="1">
      <alignment horizontal="left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/>
    </xf>
    <xf numFmtId="49" fontId="9" fillId="3" borderId="0" xfId="0" applyNumberFormat="1" applyFont="1" applyFill="1"/>
    <xf numFmtId="4" fontId="9" fillId="3" borderId="0" xfId="0" applyNumberFormat="1" applyFont="1" applyFill="1"/>
    <xf numFmtId="10" fontId="9" fillId="3" borderId="0" xfId="0" applyNumberFormat="1" applyFont="1" applyFill="1"/>
    <xf numFmtId="1" fontId="9" fillId="3" borderId="0" xfId="0" applyNumberFormat="1" applyFont="1" applyFill="1" applyAlignment="1">
      <alignment horizontal="left"/>
    </xf>
    <xf numFmtId="0" fontId="9" fillId="3" borderId="0" xfId="0" applyFont="1" applyFill="1" applyAlignment="1">
      <alignment horizontal="center"/>
    </xf>
    <xf numFmtId="4" fontId="9" fillId="3" borderId="0" xfId="0" applyNumberFormat="1" applyFont="1" applyFill="1" applyAlignment="1">
      <alignment horizontal="center"/>
    </xf>
    <xf numFmtId="0" fontId="9" fillId="18" borderId="0" xfId="0" applyFont="1" applyFill="1" applyAlignment="1">
      <alignment horizontal="center" vertical="center"/>
    </xf>
    <xf numFmtId="49" fontId="9" fillId="18" borderId="0" xfId="0" applyNumberFormat="1" applyFont="1" applyFill="1"/>
    <xf numFmtId="1" fontId="9" fillId="18" borderId="0" xfId="0" applyNumberFormat="1" applyFont="1" applyFill="1" applyAlignment="1">
      <alignment horizontal="left"/>
    </xf>
    <xf numFmtId="0" fontId="9" fillId="3" borderId="0" xfId="0" applyFont="1" applyFill="1" applyAlignment="1">
      <alignment wrapText="1"/>
    </xf>
    <xf numFmtId="4" fontId="9" fillId="18" borderId="0" xfId="0" applyNumberFormat="1" applyFont="1" applyFill="1"/>
    <xf numFmtId="10" fontId="9" fillId="18" borderId="0" xfId="0" applyNumberFormat="1" applyFont="1" applyFill="1"/>
    <xf numFmtId="0" fontId="10" fillId="18" borderId="10" xfId="4" applyFont="1" applyFill="1" applyBorder="1" applyAlignment="1">
      <alignment horizontal="center" vertical="center"/>
    </xf>
    <xf numFmtId="49" fontId="10" fillId="18" borderId="10" xfId="4" applyNumberFormat="1" applyFont="1" applyFill="1" applyBorder="1"/>
    <xf numFmtId="0" fontId="10" fillId="18" borderId="10" xfId="4" applyFont="1" applyFill="1" applyBorder="1" applyAlignment="1">
      <alignment wrapText="1"/>
    </xf>
    <xf numFmtId="4" fontId="10" fillId="18" borderId="10" xfId="4" applyNumberFormat="1" applyFont="1" applyFill="1" applyBorder="1"/>
    <xf numFmtId="10" fontId="10" fillId="18" borderId="10" xfId="4" applyNumberFormat="1" applyFont="1" applyFill="1" applyBorder="1"/>
    <xf numFmtId="0" fontId="9" fillId="3" borderId="0" xfId="2" applyFont="1" applyFill="1" applyAlignment="1">
      <alignment wrapText="1"/>
    </xf>
    <xf numFmtId="1" fontId="10" fillId="3" borderId="0" xfId="0" applyNumberFormat="1" applyFont="1" applyFill="1" applyAlignment="1">
      <alignment horizontal="left"/>
    </xf>
    <xf numFmtId="0" fontId="9" fillId="18" borderId="0" xfId="0" applyFont="1" applyFill="1" applyAlignment="1">
      <alignment horizontal="left"/>
    </xf>
    <xf numFmtId="0" fontId="35" fillId="18" borderId="0" xfId="0" applyFont="1" applyFill="1" applyAlignment="1">
      <alignment horizontal="center" vertical="center"/>
    </xf>
    <xf numFmtId="0" fontId="35" fillId="18" borderId="0" xfId="0" applyFont="1" applyFill="1"/>
    <xf numFmtId="0" fontId="10" fillId="3" borderId="0" xfId="0" applyFont="1" applyFill="1" applyAlignment="1">
      <alignment horizontal="center"/>
    </xf>
    <xf numFmtId="0" fontId="10" fillId="3" borderId="0" xfId="0" applyFont="1" applyFill="1"/>
    <xf numFmtId="0" fontId="10" fillId="3" borderId="10" xfId="4" applyFont="1" applyFill="1" applyBorder="1" applyAlignment="1">
      <alignment horizontal="center" vertical="center"/>
    </xf>
    <xf numFmtId="0" fontId="10" fillId="3" borderId="2" xfId="4" applyFont="1" applyFill="1" applyBorder="1"/>
    <xf numFmtId="4" fontId="10" fillId="3" borderId="10" xfId="4" applyNumberFormat="1" applyFont="1" applyFill="1" applyBorder="1"/>
    <xf numFmtId="10" fontId="10" fillId="3" borderId="10" xfId="4" applyNumberFormat="1" applyFont="1" applyFill="1" applyBorder="1"/>
    <xf numFmtId="1" fontId="10" fillId="3" borderId="5" xfId="4" applyNumberFormat="1" applyFont="1" applyFill="1" applyAlignment="1">
      <alignment horizontal="left"/>
    </xf>
    <xf numFmtId="0" fontId="10" fillId="3" borderId="5" xfId="4" applyFont="1" applyFill="1" applyAlignment="1">
      <alignment horizontal="center"/>
    </xf>
    <xf numFmtId="0" fontId="10" fillId="3" borderId="5" xfId="4" applyFont="1" applyFill="1"/>
    <xf numFmtId="4" fontId="10" fillId="3" borderId="0" xfId="0" applyNumberFormat="1" applyFont="1" applyFill="1"/>
    <xf numFmtId="10" fontId="10" fillId="3" borderId="0" xfId="0" applyNumberFormat="1" applyFont="1" applyFill="1"/>
    <xf numFmtId="4" fontId="9" fillId="3" borderId="0" xfId="0" applyNumberFormat="1" applyFont="1" applyFill="1" applyAlignment="1">
      <alignment horizontal="right" wrapText="1"/>
    </xf>
    <xf numFmtId="1" fontId="9" fillId="3" borderId="0" xfId="0" applyNumberFormat="1" applyFont="1" applyFill="1" applyAlignment="1">
      <alignment horizontal="left" wrapText="1"/>
    </xf>
    <xf numFmtId="4" fontId="9" fillId="18" borderId="0" xfId="0" applyNumberFormat="1" applyFont="1" applyFill="1" applyAlignment="1">
      <alignment horizontal="right" wrapText="1"/>
    </xf>
    <xf numFmtId="1" fontId="9" fillId="18" borderId="0" xfId="0" applyNumberFormat="1" applyFont="1" applyFill="1" applyAlignment="1">
      <alignment horizontal="left" wrapText="1"/>
    </xf>
    <xf numFmtId="4" fontId="10" fillId="18" borderId="0" xfId="0" applyNumberFormat="1" applyFont="1" applyFill="1" applyAlignment="1">
      <alignment horizontal="right" wrapText="1"/>
    </xf>
    <xf numFmtId="4" fontId="10" fillId="18" borderId="0" xfId="0" applyNumberFormat="1" applyFont="1" applyFill="1" applyAlignment="1">
      <alignment horizontal="right"/>
    </xf>
    <xf numFmtId="0" fontId="9" fillId="3" borderId="10" xfId="0" applyFont="1" applyFill="1" applyBorder="1" applyAlignment="1">
      <alignment horizontal="left"/>
    </xf>
    <xf numFmtId="49" fontId="9" fillId="0" borderId="0" xfId="0" applyNumberFormat="1" applyFont="1"/>
    <xf numFmtId="49" fontId="10" fillId="18" borderId="12" xfId="4" applyNumberFormat="1" applyFont="1" applyFill="1" applyBorder="1"/>
    <xf numFmtId="0" fontId="10" fillId="18" borderId="0" xfId="4" applyFont="1" applyFill="1" applyBorder="1" applyAlignment="1">
      <alignment horizontal="center" vertical="center"/>
    </xf>
    <xf numFmtId="0" fontId="10" fillId="18" borderId="0" xfId="4" applyFont="1" applyFill="1" applyBorder="1"/>
    <xf numFmtId="49" fontId="10" fillId="18" borderId="0" xfId="4" applyNumberFormat="1" applyFont="1" applyFill="1" applyBorder="1"/>
    <xf numFmtId="4" fontId="10" fillId="18" borderId="0" xfId="4" applyNumberFormat="1" applyFont="1" applyFill="1" applyBorder="1"/>
    <xf numFmtId="10" fontId="10" fillId="18" borderId="0" xfId="4" applyNumberFormat="1" applyFont="1" applyFill="1" applyBorder="1"/>
    <xf numFmtId="0" fontId="10" fillId="18" borderId="2" xfId="4" applyFont="1" applyFill="1" applyBorder="1" applyAlignment="1">
      <alignment horizontal="center" vertical="center"/>
    </xf>
    <xf numFmtId="0" fontId="10" fillId="18" borderId="3" xfId="4" applyFont="1" applyFill="1" applyBorder="1"/>
    <xf numFmtId="0" fontId="33" fillId="3" borderId="0" xfId="0" applyFont="1" applyFill="1"/>
    <xf numFmtId="0" fontId="9" fillId="2" borderId="0" xfId="0" applyFont="1" applyFill="1"/>
    <xf numFmtId="0" fontId="9" fillId="0" borderId="0" xfId="0" applyFont="1" applyAlignment="1">
      <alignment horizontal="center" vertical="center"/>
    </xf>
    <xf numFmtId="4" fontId="33" fillId="0" borderId="0" xfId="0" applyNumberFormat="1" applyFont="1" applyAlignment="1">
      <alignment horizontal="left"/>
    </xf>
    <xf numFmtId="4" fontId="9" fillId="0" borderId="0" xfId="0" applyNumberFormat="1" applyFont="1" applyAlignment="1">
      <alignment horizontal="left"/>
    </xf>
    <xf numFmtId="4" fontId="33" fillId="3" borderId="0" xfId="0" applyNumberFormat="1" applyFont="1" applyFill="1"/>
    <xf numFmtId="0" fontId="10" fillId="0" borderId="0" xfId="0" applyFont="1" applyAlignment="1">
      <alignment horizontal="left"/>
    </xf>
    <xf numFmtId="0" fontId="10" fillId="3" borderId="0" xfId="1" applyFont="1" applyFill="1" applyBorder="1"/>
    <xf numFmtId="0" fontId="17" fillId="0" borderId="0" xfId="0" applyFont="1"/>
    <xf numFmtId="0" fontId="10" fillId="3" borderId="0" xfId="1" applyFont="1" applyFill="1" applyBorder="1" applyAlignment="1">
      <alignment horizontal="left"/>
    </xf>
    <xf numFmtId="4" fontId="36" fillId="0" borderId="0" xfId="0" applyNumberFormat="1" applyFont="1"/>
    <xf numFmtId="0" fontId="37" fillId="0" borderId="0" xfId="0" applyFont="1"/>
    <xf numFmtId="4" fontId="37" fillId="0" borderId="0" xfId="0" applyNumberFormat="1" applyFont="1"/>
    <xf numFmtId="0" fontId="36" fillId="0" borderId="0" xfId="0" applyFont="1"/>
    <xf numFmtId="0" fontId="38" fillId="0" borderId="0" xfId="4" applyFont="1" applyBorder="1"/>
    <xf numFmtId="4" fontId="38" fillId="0" borderId="0" xfId="4" applyNumberFormat="1" applyFont="1" applyBorder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0" fillId="0" borderId="2" xfId="4" applyFont="1" applyBorder="1" applyAlignment="1">
      <alignment horizontal="center"/>
    </xf>
    <xf numFmtId="0" fontId="10" fillId="0" borderId="2" xfId="4" applyFont="1" applyBorder="1" applyAlignment="1">
      <alignment horizontal="center" wrapText="1"/>
    </xf>
    <xf numFmtId="0" fontId="23" fillId="3" borderId="0" xfId="1" applyFont="1" applyFill="1" applyBorder="1" applyAlignment="1">
      <alignment horizontal="center"/>
    </xf>
    <xf numFmtId="0" fontId="10" fillId="0" borderId="2" xfId="4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3" borderId="0" xfId="1" applyFont="1" applyFill="1" applyBorder="1" applyAlignment="1">
      <alignment horizontal="left"/>
    </xf>
    <xf numFmtId="1" fontId="10" fillId="18" borderId="2" xfId="4" applyNumberFormat="1" applyFont="1" applyFill="1" applyBorder="1" applyAlignment="1">
      <alignment horizontal="left"/>
    </xf>
    <xf numFmtId="0" fontId="24" fillId="0" borderId="0" xfId="0" applyFont="1" applyAlignment="1">
      <alignment horizontal="center"/>
    </xf>
    <xf numFmtId="0" fontId="10" fillId="18" borderId="2" xfId="4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9" fillId="3" borderId="2" xfId="4" applyFont="1" applyFill="1" applyBorder="1" applyAlignment="1">
      <alignment horizontal="left"/>
    </xf>
    <xf numFmtId="0" fontId="10" fillId="18" borderId="2" xfId="4" applyFont="1" applyFill="1" applyBorder="1" applyAlignment="1">
      <alignment horizontal="left" wrapText="1"/>
    </xf>
    <xf numFmtId="0" fontId="9" fillId="3" borderId="0" xfId="0" applyFont="1" applyFill="1" applyAlignment="1">
      <alignment horizontal="left"/>
    </xf>
    <xf numFmtId="0" fontId="10" fillId="18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10" fillId="3" borderId="0" xfId="0" applyFont="1" applyFill="1" applyAlignment="1">
      <alignment horizontal="left"/>
    </xf>
    <xf numFmtId="0" fontId="9" fillId="18" borderId="10" xfId="4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0" fontId="10" fillId="3" borderId="10" xfId="4" applyFont="1" applyFill="1" applyBorder="1" applyAlignment="1">
      <alignment horizontal="left" wrapText="1"/>
    </xf>
    <xf numFmtId="3" fontId="5" fillId="12" borderId="10" xfId="2" applyNumberFormat="1" applyFont="1" applyFill="1" applyBorder="1" applyAlignment="1">
      <alignment horizontal="center"/>
    </xf>
    <xf numFmtId="49" fontId="2" fillId="13" borderId="0" xfId="0" applyNumberFormat="1" applyFont="1" applyFill="1" applyAlignment="1">
      <alignment horizontal="center"/>
    </xf>
    <xf numFmtId="4" fontId="7" fillId="0" borderId="2" xfId="2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4" fontId="7" fillId="6" borderId="2" xfId="2" applyNumberFormat="1" applyFont="1" applyFill="1" applyBorder="1"/>
    <xf numFmtId="4" fontId="7" fillId="7" borderId="2" xfId="2" applyNumberFormat="1" applyFont="1" applyFill="1" applyBorder="1"/>
    <xf numFmtId="4" fontId="7" fillId="3" borderId="2" xfId="2" applyNumberFormat="1" applyFont="1" applyFill="1" applyBorder="1" applyAlignment="1">
      <alignment wrapText="1"/>
    </xf>
    <xf numFmtId="4" fontId="7" fillId="3" borderId="0" xfId="2" applyNumberFormat="1" applyFont="1" applyFill="1" applyAlignment="1">
      <alignment vertical="center"/>
    </xf>
    <xf numFmtId="4" fontId="7" fillId="0" borderId="2" xfId="2" applyNumberFormat="1" applyFont="1" applyBorder="1" applyAlignment="1">
      <alignment wrapText="1"/>
    </xf>
    <xf numFmtId="4" fontId="7" fillId="7" borderId="4" xfId="2" applyNumberFormat="1" applyFont="1" applyFill="1" applyBorder="1"/>
    <xf numFmtId="4" fontId="7" fillId="0" borderId="4" xfId="2" applyNumberFormat="1" applyFont="1" applyBorder="1" applyAlignment="1">
      <alignment wrapText="1"/>
    </xf>
    <xf numFmtId="4" fontId="7" fillId="14" borderId="2" xfId="2" applyNumberFormat="1" applyFont="1" applyFill="1" applyBorder="1"/>
    <xf numFmtId="4" fontId="7" fillId="3" borderId="4" xfId="2" applyNumberFormat="1" applyFont="1" applyFill="1" applyBorder="1" applyAlignment="1">
      <alignment wrapText="1"/>
    </xf>
    <xf numFmtId="4" fontId="7" fillId="6" borderId="0" xfId="2" applyNumberFormat="1" applyFont="1" applyFill="1" applyAlignment="1">
      <alignment wrapText="1"/>
    </xf>
    <xf numFmtId="4" fontId="7" fillId="7" borderId="0" xfId="2" applyNumberFormat="1" applyFont="1" applyFill="1" applyAlignment="1">
      <alignment wrapText="1"/>
    </xf>
    <xf numFmtId="4" fontId="7" fillId="3" borderId="0" xfId="2" applyNumberFormat="1" applyFont="1" applyFill="1" applyAlignment="1">
      <alignment wrapText="1"/>
    </xf>
    <xf numFmtId="4" fontId="7" fillId="3" borderId="0" xfId="2" applyNumberFormat="1" applyFont="1" applyFill="1"/>
    <xf numFmtId="4" fontId="7" fillId="0" borderId="0" xfId="0" applyNumberFormat="1" applyFont="1" applyAlignment="1">
      <alignment wrapText="1"/>
    </xf>
    <xf numFmtId="4" fontId="7" fillId="0" borderId="0" xfId="2" applyNumberFormat="1" applyFont="1" applyAlignment="1">
      <alignment wrapText="1"/>
    </xf>
    <xf numFmtId="4" fontId="39" fillId="0" borderId="0" xfId="2" applyNumberFormat="1" applyFont="1" applyAlignment="1">
      <alignment wrapText="1"/>
    </xf>
    <xf numFmtId="4" fontId="7" fillId="7" borderId="0" xfId="2" applyNumberFormat="1" applyFont="1" applyFill="1"/>
    <xf numFmtId="4" fontId="4" fillId="3" borderId="0" xfId="2" applyNumberFormat="1" applyFont="1" applyFill="1" applyAlignment="1">
      <alignment horizontal="right" wrapText="1"/>
    </xf>
    <xf numFmtId="4" fontId="30" fillId="9" borderId="0" xfId="2" applyNumberFormat="1" applyFont="1" applyFill="1"/>
    <xf numFmtId="4" fontId="30" fillId="5" borderId="0" xfId="2" applyNumberFormat="1" applyFont="1" applyFill="1"/>
  </cellXfs>
  <cellStyles count="7">
    <cellStyle name="Naslov 1" xfId="4" builtinId="16"/>
    <cellStyle name="Naslov 3" xfId="1" builtinId="18"/>
    <cellStyle name="Normal_Podaci" xfId="5" xr:uid="{00000000-0005-0000-0000-000002000000}"/>
    <cellStyle name="Normalno" xfId="0" builtinId="0"/>
    <cellStyle name="Normalno 2" xfId="2" xr:uid="{00000000-0005-0000-0000-000004000000}"/>
    <cellStyle name="Obično_List4" xfId="6" xr:uid="{64AD0FC8-66FE-41EF-8E99-FAA0D49E2D18}"/>
    <cellStyle name="Obično_List5" xfId="3" xr:uid="{00000000-0005-0000-0000-000005000000}"/>
  </cellStyles>
  <dxfs count="0"/>
  <tableStyles count="0" defaultTableStyle="TableStyleMedium2" defaultPivotStyle="PivotStyleLight16"/>
  <colors>
    <mruColors>
      <color rgb="FF99CCFF"/>
      <color rgb="FFD9D9D9"/>
      <color rgb="FFCCFFFF"/>
      <color rgb="FF969696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A1:J150"/>
  <sheetViews>
    <sheetView view="pageBreakPreview" topLeftCell="A37" zoomScale="90" zoomScaleNormal="100" zoomScaleSheetLayoutView="90" workbookViewId="0">
      <selection activeCell="A3" sqref="A3:J3"/>
    </sheetView>
  </sheetViews>
  <sheetFormatPr defaultRowHeight="18.75" x14ac:dyDescent="0.3"/>
  <cols>
    <col min="1" max="1" width="8.7109375" style="57" customWidth="1"/>
    <col min="2" max="2" width="76.85546875" style="57" customWidth="1"/>
    <col min="3" max="6" width="20.7109375" style="450" customWidth="1"/>
    <col min="7" max="7" width="20.7109375" style="448" customWidth="1"/>
    <col min="8" max="10" width="15.7109375" style="62" customWidth="1"/>
    <col min="11" max="16384" width="9.140625" style="62"/>
  </cols>
  <sheetData>
    <row r="1" spans="1:10" ht="20.25" x14ac:dyDescent="0.3">
      <c r="A1" s="453" t="s">
        <v>1001</v>
      </c>
      <c r="B1" s="453"/>
      <c r="C1" s="453"/>
      <c r="D1" s="453"/>
      <c r="E1" s="453"/>
      <c r="F1" s="453"/>
      <c r="G1" s="453"/>
      <c r="H1" s="453"/>
      <c r="I1" s="453"/>
      <c r="J1" s="453"/>
    </row>
    <row r="2" spans="1:10" ht="20.25" x14ac:dyDescent="0.3">
      <c r="A2" s="453" t="s">
        <v>1127</v>
      </c>
      <c r="B2" s="453"/>
      <c r="C2" s="453"/>
      <c r="D2" s="453"/>
      <c r="E2" s="453"/>
      <c r="F2" s="453"/>
      <c r="G2" s="453"/>
      <c r="H2" s="453"/>
      <c r="I2" s="453"/>
      <c r="J2" s="453"/>
    </row>
    <row r="3" spans="1:10" ht="20.25" x14ac:dyDescent="0.3">
      <c r="A3" s="453" t="s">
        <v>1128</v>
      </c>
      <c r="B3" s="453"/>
      <c r="C3" s="453"/>
      <c r="D3" s="453"/>
      <c r="E3" s="453"/>
      <c r="F3" s="453"/>
      <c r="G3" s="453"/>
      <c r="H3" s="453"/>
      <c r="I3" s="453"/>
      <c r="J3" s="453"/>
    </row>
    <row r="4" spans="1:10" ht="20.25" x14ac:dyDescent="0.3">
      <c r="A4" s="61"/>
      <c r="B4" s="61"/>
      <c r="C4" s="89"/>
      <c r="D4" s="89"/>
      <c r="E4" s="89"/>
      <c r="F4" s="89"/>
      <c r="G4" s="89"/>
      <c r="H4" s="61"/>
      <c r="I4" s="61"/>
      <c r="J4" s="61"/>
    </row>
    <row r="5" spans="1:10" ht="27" x14ac:dyDescent="0.35">
      <c r="A5" s="456" t="s">
        <v>1118</v>
      </c>
      <c r="B5" s="456"/>
      <c r="C5" s="456"/>
      <c r="D5" s="456"/>
      <c r="E5" s="456"/>
      <c r="F5" s="456"/>
      <c r="G5" s="456"/>
      <c r="H5" s="456"/>
      <c r="I5" s="456"/>
      <c r="J5" s="456"/>
    </row>
    <row r="6" spans="1:10" ht="20.25" x14ac:dyDescent="0.3">
      <c r="A6" s="61"/>
      <c r="B6" s="61"/>
      <c r="C6" s="89"/>
      <c r="D6" s="89"/>
      <c r="E6" s="89"/>
      <c r="F6" s="89"/>
      <c r="G6" s="89"/>
      <c r="H6" s="61"/>
      <c r="I6" s="61"/>
      <c r="J6" s="61"/>
    </row>
    <row r="7" spans="1:10" ht="20.25" x14ac:dyDescent="0.3">
      <c r="A7" s="453" t="s">
        <v>1119</v>
      </c>
      <c r="B7" s="453"/>
      <c r="C7" s="453"/>
      <c r="D7" s="453"/>
      <c r="E7" s="453"/>
      <c r="F7" s="453"/>
      <c r="G7" s="453"/>
      <c r="H7" s="453"/>
      <c r="I7" s="453"/>
      <c r="J7" s="453"/>
    </row>
    <row r="8" spans="1:10" ht="20.25" x14ac:dyDescent="0.3">
      <c r="A8" s="453" t="s">
        <v>1075</v>
      </c>
      <c r="B8" s="453"/>
      <c r="C8" s="453"/>
      <c r="D8" s="453"/>
      <c r="E8" s="453"/>
      <c r="F8" s="453"/>
      <c r="G8" s="453"/>
      <c r="H8" s="453"/>
      <c r="I8" s="453"/>
      <c r="J8" s="453"/>
    </row>
    <row r="9" spans="1:10" ht="20.25" x14ac:dyDescent="0.3">
      <c r="A9" s="59"/>
      <c r="B9" s="59"/>
      <c r="C9" s="270"/>
      <c r="D9" s="270"/>
      <c r="E9" s="270"/>
      <c r="F9" s="270"/>
      <c r="G9" s="270"/>
      <c r="H9" s="59"/>
      <c r="I9" s="59"/>
      <c r="J9" s="59"/>
    </row>
    <row r="10" spans="1:10" ht="20.25" x14ac:dyDescent="0.3">
      <c r="A10" s="454" t="s">
        <v>556</v>
      </c>
      <c r="B10" s="454"/>
      <c r="C10" s="454"/>
      <c r="D10" s="454"/>
      <c r="E10" s="454"/>
      <c r="F10" s="454"/>
      <c r="G10" s="454"/>
      <c r="H10" s="454"/>
      <c r="I10" s="454"/>
      <c r="J10" s="454"/>
    </row>
    <row r="11" spans="1:10" ht="20.25" x14ac:dyDescent="0.3">
      <c r="A11" s="60"/>
      <c r="B11" s="60"/>
      <c r="C11" s="271"/>
      <c r="D11" s="271"/>
      <c r="E11" s="271"/>
      <c r="F11" s="271"/>
      <c r="G11" s="89"/>
      <c r="H11" s="61"/>
      <c r="I11" s="61"/>
      <c r="J11" s="60"/>
    </row>
    <row r="12" spans="1:10" ht="20.25" x14ac:dyDescent="0.3">
      <c r="A12" s="453" t="s">
        <v>1120</v>
      </c>
      <c r="B12" s="453"/>
      <c r="C12" s="453"/>
      <c r="D12" s="453"/>
      <c r="E12" s="453"/>
      <c r="F12" s="453"/>
      <c r="G12" s="453"/>
      <c r="H12" s="453"/>
      <c r="I12" s="453"/>
      <c r="J12" s="453"/>
    </row>
    <row r="13" spans="1:10" ht="20.25" x14ac:dyDescent="0.3">
      <c r="A13" s="453"/>
      <c r="B13" s="453"/>
      <c r="C13" s="453"/>
      <c r="D13" s="453"/>
      <c r="E13" s="453"/>
      <c r="F13" s="453"/>
      <c r="G13" s="453"/>
      <c r="H13" s="453"/>
      <c r="I13" s="453"/>
      <c r="J13" s="453"/>
    </row>
    <row r="14" spans="1:10" ht="20.25" x14ac:dyDescent="0.3">
      <c r="A14" s="454" t="s">
        <v>1080</v>
      </c>
      <c r="B14" s="454"/>
      <c r="C14" s="454"/>
      <c r="D14" s="454"/>
      <c r="E14" s="454"/>
      <c r="F14" s="454"/>
      <c r="G14" s="454"/>
      <c r="H14" s="454"/>
      <c r="I14" s="454"/>
      <c r="J14" s="454"/>
    </row>
    <row r="15" spans="1:10" ht="20.25" x14ac:dyDescent="0.3">
      <c r="A15" s="59"/>
      <c r="B15" s="59"/>
      <c r="C15" s="270"/>
      <c r="D15" s="270"/>
      <c r="E15" s="270"/>
      <c r="F15" s="270"/>
      <c r="G15" s="270"/>
      <c r="H15" s="59"/>
      <c r="I15" s="59"/>
      <c r="J15" s="59"/>
    </row>
    <row r="16" spans="1:10" ht="20.25" x14ac:dyDescent="0.3">
      <c r="A16" s="59"/>
      <c r="B16" s="59"/>
      <c r="C16" s="270"/>
      <c r="D16" s="270"/>
      <c r="E16" s="270"/>
      <c r="F16" s="270"/>
      <c r="G16" s="270"/>
      <c r="H16" s="59"/>
      <c r="I16" s="59"/>
      <c r="J16" s="59"/>
    </row>
    <row r="17" spans="1:10" ht="20.25" x14ac:dyDescent="0.3">
      <c r="A17" s="455" t="s">
        <v>1082</v>
      </c>
      <c r="B17" s="455"/>
      <c r="C17" s="455"/>
      <c r="D17" s="455"/>
      <c r="E17" s="455"/>
      <c r="F17" s="455"/>
      <c r="G17" s="455"/>
      <c r="H17" s="455"/>
      <c r="I17" s="455"/>
      <c r="J17" s="455"/>
    </row>
    <row r="18" spans="1:10" ht="20.25" x14ac:dyDescent="0.3">
      <c r="A18" s="455" t="s">
        <v>1081</v>
      </c>
      <c r="B18" s="455"/>
      <c r="C18" s="455"/>
      <c r="D18" s="455"/>
      <c r="E18" s="455"/>
      <c r="F18" s="455"/>
      <c r="G18" s="455"/>
      <c r="H18" s="455"/>
      <c r="I18" s="455"/>
      <c r="J18" s="455"/>
    </row>
    <row r="19" spans="1:10" ht="20.25" x14ac:dyDescent="0.3">
      <c r="A19" s="455" t="s">
        <v>1083</v>
      </c>
      <c r="B19" s="455"/>
      <c r="C19" s="455"/>
      <c r="D19" s="455"/>
      <c r="E19" s="455"/>
      <c r="F19" s="455"/>
      <c r="G19" s="455"/>
      <c r="H19" s="455"/>
      <c r="I19" s="455"/>
      <c r="J19" s="455"/>
    </row>
    <row r="20" spans="1:10" ht="20.25" x14ac:dyDescent="0.3">
      <c r="A20" s="455" t="s">
        <v>1085</v>
      </c>
      <c r="B20" s="455"/>
      <c r="C20" s="455"/>
      <c r="D20" s="455"/>
      <c r="E20" s="455"/>
      <c r="F20" s="455"/>
      <c r="G20" s="455"/>
      <c r="H20" s="455"/>
      <c r="I20" s="455"/>
      <c r="J20" s="455"/>
    </row>
    <row r="21" spans="1:10" ht="20.25" x14ac:dyDescent="0.3">
      <c r="A21" s="270"/>
      <c r="B21" s="270"/>
      <c r="C21" s="270"/>
      <c r="D21" s="270"/>
      <c r="E21" s="270"/>
      <c r="F21" s="270"/>
      <c r="G21" s="270"/>
      <c r="H21" s="270"/>
      <c r="I21" s="270"/>
      <c r="J21" s="270"/>
    </row>
    <row r="22" spans="1:10" ht="20.100000000000001" customHeight="1" x14ac:dyDescent="0.3">
      <c r="A22" s="457" t="s">
        <v>1010</v>
      </c>
      <c r="B22" s="457"/>
      <c r="C22" s="457"/>
      <c r="D22" s="457"/>
      <c r="E22" s="457"/>
      <c r="F22" s="457"/>
      <c r="G22" s="457"/>
      <c r="H22" s="457"/>
      <c r="I22" s="457"/>
      <c r="J22" s="457"/>
    </row>
    <row r="23" spans="1:10" ht="20.100000000000001" customHeight="1" x14ac:dyDescent="0.3">
      <c r="A23" s="288"/>
      <c r="B23" s="288"/>
      <c r="C23" s="288"/>
      <c r="D23" s="288"/>
      <c r="E23" s="288"/>
      <c r="F23" s="288"/>
      <c r="G23" s="288"/>
      <c r="H23" s="288"/>
      <c r="I23" s="288"/>
      <c r="J23" s="288"/>
    </row>
    <row r="24" spans="1:10" ht="20.100000000000001" customHeight="1" x14ac:dyDescent="0.3">
      <c r="A24" s="457" t="s">
        <v>1064</v>
      </c>
      <c r="B24" s="457"/>
      <c r="C24" s="457"/>
      <c r="D24" s="457"/>
      <c r="E24" s="457"/>
      <c r="F24" s="457"/>
      <c r="G24" s="457"/>
      <c r="H24" s="457"/>
      <c r="I24" s="457"/>
      <c r="J24" s="457"/>
    </row>
    <row r="25" spans="1:10" ht="20.100000000000001" customHeight="1" x14ac:dyDescent="0.3">
      <c r="A25" s="288"/>
      <c r="B25" s="288"/>
      <c r="C25" s="288"/>
      <c r="D25" s="288"/>
      <c r="E25" s="288"/>
      <c r="F25" s="288"/>
      <c r="G25" s="288"/>
      <c r="H25" s="288"/>
      <c r="I25" s="288"/>
      <c r="J25" s="288"/>
    </row>
    <row r="26" spans="1:10" s="61" customFormat="1" ht="20.25" x14ac:dyDescent="0.3">
      <c r="A26" s="443" t="s">
        <v>1076</v>
      </c>
      <c r="B26" s="271"/>
      <c r="C26" s="271"/>
      <c r="D26" s="271"/>
      <c r="E26" s="271"/>
      <c r="F26" s="271"/>
      <c r="G26" s="271"/>
      <c r="H26" s="271"/>
      <c r="I26" s="271"/>
      <c r="J26" s="271"/>
    </row>
    <row r="27" spans="1:10" s="337" customFormat="1" ht="20.25" x14ac:dyDescent="0.3">
      <c r="A27" s="444" t="s">
        <v>1002</v>
      </c>
      <c r="B27" s="444"/>
      <c r="C27" s="444"/>
      <c r="D27" s="444"/>
      <c r="E27" s="444"/>
      <c r="F27" s="444"/>
      <c r="G27" s="336"/>
      <c r="H27" s="336"/>
      <c r="I27" s="336"/>
      <c r="J27" s="336"/>
    </row>
    <row r="28" spans="1:10" ht="60.75" x14ac:dyDescent="0.25">
      <c r="A28" s="276"/>
      <c r="B28" s="276" t="s">
        <v>558</v>
      </c>
      <c r="C28" s="276" t="s">
        <v>1014</v>
      </c>
      <c r="D28" s="276" t="s">
        <v>1015</v>
      </c>
      <c r="E28" s="276" t="s">
        <v>1013</v>
      </c>
      <c r="F28" s="276" t="s">
        <v>979</v>
      </c>
      <c r="G28" s="276" t="s">
        <v>1112</v>
      </c>
      <c r="H28" s="277" t="s">
        <v>1011</v>
      </c>
      <c r="I28" s="277" t="s">
        <v>1009</v>
      </c>
      <c r="J28" s="277" t="s">
        <v>1012</v>
      </c>
    </row>
    <row r="29" spans="1:10" ht="20.25" x14ac:dyDescent="0.3">
      <c r="A29" s="278"/>
      <c r="B29" s="279">
        <v>1</v>
      </c>
      <c r="C29" s="279">
        <v>2</v>
      </c>
      <c r="D29" s="279">
        <v>3</v>
      </c>
      <c r="E29" s="279">
        <v>4</v>
      </c>
      <c r="F29" s="279">
        <v>5</v>
      </c>
      <c r="G29" s="279">
        <v>6</v>
      </c>
      <c r="H29" s="279"/>
      <c r="I29" s="279"/>
      <c r="J29" s="279"/>
    </row>
    <row r="30" spans="1:10" s="274" customFormat="1" ht="20.25" x14ac:dyDescent="0.3">
      <c r="A30" s="280"/>
      <c r="B30" s="280" t="s">
        <v>914</v>
      </c>
      <c r="C30" s="281">
        <f>SUM(C31+C34+C36)</f>
        <v>1442291.2999999998</v>
      </c>
      <c r="D30" s="281">
        <f>SUM(D31+D34+D36)</f>
        <v>3006489.63</v>
      </c>
      <c r="E30" s="281">
        <f>SUM(E31+E34+E36)</f>
        <v>2316500</v>
      </c>
      <c r="F30" s="281">
        <f>SUM(F31+F34+F36)</f>
        <v>1814600</v>
      </c>
      <c r="G30" s="281">
        <f>SUM(G31+G34+G36)</f>
        <v>3006489.63</v>
      </c>
      <c r="H30" s="282">
        <f t="shared" ref="H30:H37" si="0">IFERROR(SUM(G30/C30),0)</f>
        <v>2.0845231681006466</v>
      </c>
      <c r="I30" s="282">
        <f>IFERROR(SUM(G30/D30),0)</f>
        <v>1</v>
      </c>
      <c r="J30" s="282">
        <f>IFERROR(SUM(G30/F30),0)</f>
        <v>1.6568332580182961</v>
      </c>
    </row>
    <row r="31" spans="1:10" s="274" customFormat="1" ht="20.25" x14ac:dyDescent="0.3">
      <c r="A31" s="280"/>
      <c r="B31" s="280" t="s">
        <v>1008</v>
      </c>
      <c r="C31" s="281">
        <f>SUM(C32+C33)</f>
        <v>1391152.0199999998</v>
      </c>
      <c r="D31" s="281">
        <f>SUM(D32+D33)</f>
        <v>2908845.1999999997</v>
      </c>
      <c r="E31" s="281">
        <f>SUM(E32+E33)</f>
        <v>2195000</v>
      </c>
      <c r="F31" s="281">
        <f>SUM(F32+F33)</f>
        <v>1674300</v>
      </c>
      <c r="G31" s="281">
        <f>SUM(G32+G33)</f>
        <v>2908845.1999999997</v>
      </c>
      <c r="H31" s="282">
        <f t="shared" si="0"/>
        <v>2.0909614177176699</v>
      </c>
      <c r="I31" s="282">
        <f t="shared" ref="I31:I47" si="1">IFERROR(SUM(G31/D31),0)</f>
        <v>1</v>
      </c>
      <c r="J31" s="282">
        <f t="shared" ref="J31:J47" si="2">IFERROR(SUM(G31/F31),0)</f>
        <v>1.7373500567401301</v>
      </c>
    </row>
    <row r="32" spans="1:10" ht="20.25" x14ac:dyDescent="0.3">
      <c r="A32" s="283">
        <v>6</v>
      </c>
      <c r="B32" s="283" t="s">
        <v>918</v>
      </c>
      <c r="C32" s="284">
        <f>SUM('PRIHODI ZA VIJEĆE '!D7)</f>
        <v>1387459.8299999998</v>
      </c>
      <c r="D32" s="284">
        <f>SUM('PRIHODI ZA VIJEĆE '!E7)</f>
        <v>2862407.9</v>
      </c>
      <c r="E32" s="284">
        <f>SUM('PRIHODI ZA VIJEĆE '!F7)</f>
        <v>2154500</v>
      </c>
      <c r="F32" s="284">
        <f>SUM('PRIHODI ZA VIJEĆE '!G7)</f>
        <v>1624300</v>
      </c>
      <c r="G32" s="284">
        <f>SUM('PRIHODI ZA VIJEĆE '!H7)</f>
        <v>2862407.9</v>
      </c>
      <c r="H32" s="285">
        <f t="shared" si="0"/>
        <v>2.063056412955754</v>
      </c>
      <c r="I32" s="286">
        <f t="shared" si="1"/>
        <v>1</v>
      </c>
      <c r="J32" s="286">
        <f t="shared" si="2"/>
        <v>1.7622409037739333</v>
      </c>
    </row>
    <row r="33" spans="1:10" ht="20.25" x14ac:dyDescent="0.3">
      <c r="A33" s="283">
        <v>7</v>
      </c>
      <c r="B33" s="283" t="s">
        <v>117</v>
      </c>
      <c r="C33" s="287">
        <f>SUM('PRIHODI ZA VIJEĆE '!D10)</f>
        <v>3692.19</v>
      </c>
      <c r="D33" s="287">
        <f>SUM('PRIHODI ZA VIJEĆE '!E10)</f>
        <v>46437.3</v>
      </c>
      <c r="E33" s="287">
        <f>SUM('PRIHODI ZA VIJEĆE '!F10)</f>
        <v>40500</v>
      </c>
      <c r="F33" s="287">
        <f>SUM('PRIHODI ZA VIJEĆE '!G10)</f>
        <v>50000</v>
      </c>
      <c r="G33" s="287">
        <f>SUM('PRIHODI ZA VIJEĆE '!H10)</f>
        <v>46437.3</v>
      </c>
      <c r="H33" s="285">
        <f t="shared" si="0"/>
        <v>12.577169647282508</v>
      </c>
      <c r="I33" s="286">
        <f t="shared" si="1"/>
        <v>1</v>
      </c>
      <c r="J33" s="286">
        <f t="shared" si="2"/>
        <v>0.92874600000000007</v>
      </c>
    </row>
    <row r="34" spans="1:10" s="274" customFormat="1" ht="20.25" x14ac:dyDescent="0.3">
      <c r="A34" s="280"/>
      <c r="B34" s="280" t="s">
        <v>1115</v>
      </c>
      <c r="C34" s="281">
        <f>SUM(C35)</f>
        <v>45933.18</v>
      </c>
      <c r="D34" s="281">
        <f t="shared" ref="D34:G34" si="3">SUM(D35)</f>
        <v>86252.31</v>
      </c>
      <c r="E34" s="281">
        <f t="shared" si="3"/>
        <v>120000</v>
      </c>
      <c r="F34" s="281">
        <f t="shared" si="3"/>
        <v>130500</v>
      </c>
      <c r="G34" s="281">
        <f t="shared" si="3"/>
        <v>86252.31</v>
      </c>
      <c r="H34" s="282">
        <f t="shared" si="0"/>
        <v>1.8777778938884702</v>
      </c>
      <c r="I34" s="282">
        <f t="shared" si="1"/>
        <v>1</v>
      </c>
      <c r="J34" s="282">
        <f t="shared" si="2"/>
        <v>0.66093724137931031</v>
      </c>
    </row>
    <row r="35" spans="1:10" ht="20.25" x14ac:dyDescent="0.3">
      <c r="A35" s="283">
        <v>6</v>
      </c>
      <c r="B35" s="283" t="s">
        <v>919</v>
      </c>
      <c r="C35" s="284">
        <f>SUM('PRIHODI ZA VIJEĆE '!D8)</f>
        <v>45933.18</v>
      </c>
      <c r="D35" s="284">
        <f>SUM('PRIHODI ZA VIJEĆE '!E8)</f>
        <v>86252.31</v>
      </c>
      <c r="E35" s="284">
        <f>SUM('PRIHODI ZA VIJEĆE '!F8)</f>
        <v>120000</v>
      </c>
      <c r="F35" s="284">
        <f>SUM('PRIHODI ZA VIJEĆE '!G8)</f>
        <v>130500</v>
      </c>
      <c r="G35" s="284">
        <f>SUM('PRIHODI ZA VIJEĆE '!H8)</f>
        <v>86252.31</v>
      </c>
      <c r="H35" s="285">
        <f t="shared" si="0"/>
        <v>1.8777778938884702</v>
      </c>
      <c r="I35" s="286">
        <f t="shared" si="1"/>
        <v>1</v>
      </c>
      <c r="J35" s="286">
        <f t="shared" si="2"/>
        <v>0.66093724137931031</v>
      </c>
    </row>
    <row r="36" spans="1:10" s="274" customFormat="1" ht="20.25" x14ac:dyDescent="0.3">
      <c r="A36" s="280"/>
      <c r="B36" s="280" t="s">
        <v>917</v>
      </c>
      <c r="C36" s="281">
        <f>SUM(C37)</f>
        <v>5206.1000000000004</v>
      </c>
      <c r="D36" s="281">
        <f>SUM(D37)</f>
        <v>11392.119999999999</v>
      </c>
      <c r="E36" s="281">
        <f>SUM(E37)</f>
        <v>1500</v>
      </c>
      <c r="F36" s="281">
        <f>SUM(F37)</f>
        <v>9800</v>
      </c>
      <c r="G36" s="281">
        <f>SUM(G37)</f>
        <v>11392.119999999999</v>
      </c>
      <c r="H36" s="282">
        <f t="shared" si="0"/>
        <v>2.1882253510305216</v>
      </c>
      <c r="I36" s="282">
        <f t="shared" si="1"/>
        <v>1</v>
      </c>
      <c r="J36" s="282">
        <f t="shared" si="2"/>
        <v>1.1624612244897958</v>
      </c>
    </row>
    <row r="37" spans="1:10" ht="20.25" x14ac:dyDescent="0.3">
      <c r="A37" s="283">
        <v>6</v>
      </c>
      <c r="B37" s="283" t="s">
        <v>920</v>
      </c>
      <c r="C37" s="284">
        <f>SUM('PRIHODI ZA VIJEĆE '!D9)</f>
        <v>5206.1000000000004</v>
      </c>
      <c r="D37" s="284">
        <f>SUM('PRIHODI ZA VIJEĆE '!E9)</f>
        <v>11392.119999999999</v>
      </c>
      <c r="E37" s="284">
        <f>SUM('PRIHODI ZA VIJEĆE '!F9)</f>
        <v>1500</v>
      </c>
      <c r="F37" s="284">
        <f>SUM('PRIHODI ZA VIJEĆE '!G9)</f>
        <v>9800</v>
      </c>
      <c r="G37" s="284">
        <f>SUM('PRIHODI ZA VIJEĆE '!H9)</f>
        <v>11392.119999999999</v>
      </c>
      <c r="H37" s="285">
        <f t="shared" si="0"/>
        <v>2.1882253510305216</v>
      </c>
      <c r="I37" s="286">
        <f t="shared" si="1"/>
        <v>1</v>
      </c>
      <c r="J37" s="286">
        <f t="shared" si="2"/>
        <v>1.1624612244897958</v>
      </c>
    </row>
    <row r="38" spans="1:10" ht="20.25" x14ac:dyDescent="0.3">
      <c r="A38" s="283"/>
      <c r="B38" s="283"/>
      <c r="C38" s="284"/>
      <c r="D38" s="284"/>
      <c r="E38" s="284"/>
      <c r="F38" s="284"/>
      <c r="G38" s="284"/>
      <c r="H38" s="285"/>
      <c r="I38" s="286">
        <f t="shared" si="1"/>
        <v>0</v>
      </c>
      <c r="J38" s="286">
        <f t="shared" si="2"/>
        <v>0</v>
      </c>
    </row>
    <row r="39" spans="1:10" s="274" customFormat="1" ht="20.25" x14ac:dyDescent="0.3">
      <c r="A39" s="280"/>
      <c r="B39" s="280" t="s">
        <v>929</v>
      </c>
      <c r="C39" s="281">
        <f>SUM(C40+C43+C46)</f>
        <v>1117136.22</v>
      </c>
      <c r="D39" s="281">
        <f>SUM(D40+D43+D46)</f>
        <v>2738871.53</v>
      </c>
      <c r="E39" s="281">
        <f>SUM(E40+E43+E46)</f>
        <v>4286500</v>
      </c>
      <c r="F39" s="281">
        <f>SUM(F40+F43+F46)</f>
        <v>3250400</v>
      </c>
      <c r="G39" s="281">
        <f>SUM(G40+G43+G46)</f>
        <v>2738871.53</v>
      </c>
      <c r="H39" s="282">
        <f t="shared" ref="H39:H47" si="4">IFERROR(SUM(G39/C39),0)</f>
        <v>2.4516898485307368</v>
      </c>
      <c r="I39" s="282">
        <f t="shared" si="1"/>
        <v>1</v>
      </c>
      <c r="J39" s="282">
        <f t="shared" si="2"/>
        <v>0.84262599372384928</v>
      </c>
    </row>
    <row r="40" spans="1:10" s="274" customFormat="1" ht="20.25" x14ac:dyDescent="0.3">
      <c r="A40" s="280"/>
      <c r="B40" s="280" t="s">
        <v>930</v>
      </c>
      <c r="C40" s="281">
        <f>SUM(C41+C42)</f>
        <v>954197.56</v>
      </c>
      <c r="D40" s="281">
        <f>SUM(D41+D42)</f>
        <v>2409715.9699999997</v>
      </c>
      <c r="E40" s="281">
        <f>SUM(E41+E42)</f>
        <v>3925000</v>
      </c>
      <c r="F40" s="281">
        <f>SUM(F41+F42)</f>
        <v>2862700</v>
      </c>
      <c r="G40" s="281">
        <f>SUM(G41+G42)</f>
        <v>2409715.9699999997</v>
      </c>
      <c r="H40" s="282">
        <f t="shared" si="4"/>
        <v>2.525384753656255</v>
      </c>
      <c r="I40" s="282">
        <f t="shared" si="1"/>
        <v>1</v>
      </c>
      <c r="J40" s="282">
        <f t="shared" si="2"/>
        <v>0.84176335976525651</v>
      </c>
    </row>
    <row r="41" spans="1:10" ht="20.25" x14ac:dyDescent="0.3">
      <c r="A41" s="283">
        <v>3</v>
      </c>
      <c r="B41" s="283" t="s">
        <v>933</v>
      </c>
      <c r="C41" s="287">
        <f>SUM('RASHODI ZA VIJEĆE'!E9)</f>
        <v>789516.9</v>
      </c>
      <c r="D41" s="287">
        <f>SUM('RASHODI ZA VIJEĆE'!F9)</f>
        <v>1757816.3099999998</v>
      </c>
      <c r="E41" s="287">
        <f>SUM('RASHODI ZA VIJEĆE'!G9)</f>
        <v>2301500</v>
      </c>
      <c r="F41" s="287">
        <f>SUM('RASHODI ZA VIJEĆE'!H9)</f>
        <v>2111200</v>
      </c>
      <c r="G41" s="287">
        <f>SUM('RASHODI ZA VIJEĆE'!I9)</f>
        <v>1757816.3099999998</v>
      </c>
      <c r="H41" s="285">
        <f t="shared" si="4"/>
        <v>2.2264454503760462</v>
      </c>
      <c r="I41" s="286">
        <f t="shared" si="1"/>
        <v>1</v>
      </c>
      <c r="J41" s="286">
        <f t="shared" si="2"/>
        <v>0.83261477358848035</v>
      </c>
    </row>
    <row r="42" spans="1:10" ht="20.25" x14ac:dyDescent="0.3">
      <c r="A42" s="283">
        <v>4</v>
      </c>
      <c r="B42" s="283" t="s">
        <v>970</v>
      </c>
      <c r="C42" s="287">
        <f>SUM('RASHODI ZA VIJEĆE'!E13)</f>
        <v>164680.65999999997</v>
      </c>
      <c r="D42" s="287">
        <f>SUM('RASHODI ZA VIJEĆE'!F13)</f>
        <v>651899.66000000015</v>
      </c>
      <c r="E42" s="287">
        <f>SUM('RASHODI ZA VIJEĆE'!G13)</f>
        <v>1623500</v>
      </c>
      <c r="F42" s="287">
        <f>SUM('RASHODI ZA VIJEĆE'!H13)</f>
        <v>751500</v>
      </c>
      <c r="G42" s="287">
        <f>SUM('RASHODI ZA VIJEĆE'!I13)</f>
        <v>651899.66000000015</v>
      </c>
      <c r="H42" s="285">
        <f t="shared" si="4"/>
        <v>3.958568419631062</v>
      </c>
      <c r="I42" s="286">
        <f t="shared" si="1"/>
        <v>1</v>
      </c>
      <c r="J42" s="286">
        <f t="shared" si="2"/>
        <v>0.86746461743180325</v>
      </c>
    </row>
    <row r="43" spans="1:10" s="274" customFormat="1" ht="20.25" x14ac:dyDescent="0.3">
      <c r="A43" s="280"/>
      <c r="B43" s="280" t="s">
        <v>931</v>
      </c>
      <c r="C43" s="281">
        <f>SUM(C44+C45)</f>
        <v>142912.26999999999</v>
      </c>
      <c r="D43" s="281">
        <f>SUM(D44+D45)</f>
        <v>291985.69</v>
      </c>
      <c r="E43" s="281">
        <f>SUM(E44+E45)</f>
        <v>320000</v>
      </c>
      <c r="F43" s="281">
        <f>SUM(F44+F45)</f>
        <v>342500</v>
      </c>
      <c r="G43" s="281">
        <f>SUM(G44+G45)</f>
        <v>291985.69</v>
      </c>
      <c r="H43" s="282">
        <f t="shared" si="4"/>
        <v>2.0431114137365536</v>
      </c>
      <c r="I43" s="282">
        <f t="shared" si="1"/>
        <v>1</v>
      </c>
      <c r="J43" s="282">
        <f t="shared" si="2"/>
        <v>0.85251296350364969</v>
      </c>
    </row>
    <row r="44" spans="1:10" ht="20.25" x14ac:dyDescent="0.3">
      <c r="A44" s="283">
        <v>3</v>
      </c>
      <c r="B44" s="283" t="s">
        <v>934</v>
      </c>
      <c r="C44" s="287">
        <f>SUM('RASHODI ZA VIJEĆE'!E11)</f>
        <v>142912.26999999999</v>
      </c>
      <c r="D44" s="287">
        <f>SUM('RASHODI ZA VIJEĆE'!F11)</f>
        <v>291985.69</v>
      </c>
      <c r="E44" s="287">
        <f>SUM('RASHODI ZA VIJEĆE'!G11)</f>
        <v>320000</v>
      </c>
      <c r="F44" s="287">
        <f>SUM('RASHODI ZA VIJEĆE'!H11)</f>
        <v>342500</v>
      </c>
      <c r="G44" s="287">
        <f>SUM('RASHODI ZA VIJEĆE'!I11)</f>
        <v>291985.69</v>
      </c>
      <c r="H44" s="285">
        <f t="shared" si="4"/>
        <v>2.0431114137365536</v>
      </c>
      <c r="I44" s="286">
        <f t="shared" si="1"/>
        <v>1</v>
      </c>
      <c r="J44" s="286">
        <f t="shared" si="2"/>
        <v>0.85251296350364969</v>
      </c>
    </row>
    <row r="45" spans="1:10" ht="20.25" x14ac:dyDescent="0.3">
      <c r="A45" s="283">
        <v>4</v>
      </c>
      <c r="B45" s="283" t="s">
        <v>969</v>
      </c>
      <c r="C45" s="284">
        <f>SUM('RASHODI ZA VIJEĆE'!E14)</f>
        <v>0</v>
      </c>
      <c r="D45" s="284">
        <f>SUM('RASHODI ZA VIJEĆE'!F14)</f>
        <v>0</v>
      </c>
      <c r="E45" s="284">
        <f>SUM('RASHODI ZA VIJEĆE'!G14)</f>
        <v>0</v>
      </c>
      <c r="F45" s="284">
        <f>SUM('RASHODI ZA VIJEĆE'!H14)</f>
        <v>0</v>
      </c>
      <c r="G45" s="284">
        <f>SUM('RASHODI ZA VIJEĆE'!I14)</f>
        <v>0</v>
      </c>
      <c r="H45" s="285">
        <f t="shared" si="4"/>
        <v>0</v>
      </c>
      <c r="I45" s="286">
        <f t="shared" si="1"/>
        <v>0</v>
      </c>
      <c r="J45" s="286">
        <f t="shared" si="2"/>
        <v>0</v>
      </c>
    </row>
    <row r="46" spans="1:10" s="274" customFormat="1" ht="20.25" x14ac:dyDescent="0.3">
      <c r="A46" s="280"/>
      <c r="B46" s="280" t="s">
        <v>1123</v>
      </c>
      <c r="C46" s="281">
        <f>SUM(C47:C48)</f>
        <v>20026.39</v>
      </c>
      <c r="D46" s="281">
        <f t="shared" ref="D46:G46" si="5">SUM(D47:D48)</f>
        <v>37169.869999999995</v>
      </c>
      <c r="E46" s="281">
        <f t="shared" si="5"/>
        <v>41500</v>
      </c>
      <c r="F46" s="281">
        <f t="shared" si="5"/>
        <v>45200</v>
      </c>
      <c r="G46" s="281">
        <f t="shared" si="5"/>
        <v>37169.869999999995</v>
      </c>
      <c r="H46" s="282">
        <f t="shared" si="4"/>
        <v>1.8560444493490837</v>
      </c>
      <c r="I46" s="282">
        <f t="shared" si="1"/>
        <v>1</v>
      </c>
      <c r="J46" s="282">
        <f t="shared" si="2"/>
        <v>0.82234225663716809</v>
      </c>
    </row>
    <row r="47" spans="1:10" ht="20.25" x14ac:dyDescent="0.3">
      <c r="A47" s="283">
        <v>3</v>
      </c>
      <c r="B47" s="283" t="s">
        <v>935</v>
      </c>
      <c r="C47" s="287">
        <f>SUM('RASHODI ZA VIJEĆE'!E12)</f>
        <v>11572.96</v>
      </c>
      <c r="D47" s="287">
        <f>SUM('RASHODI ZA VIJEĆE'!F12)</f>
        <v>24548.75</v>
      </c>
      <c r="E47" s="287">
        <f>SUM('RASHODI ZA VIJEĆE'!G12)</f>
        <v>36700</v>
      </c>
      <c r="F47" s="287">
        <f>SUM('RASHODI ZA VIJEĆE'!H12)</f>
        <v>32500</v>
      </c>
      <c r="G47" s="287">
        <f>SUM('RASHODI ZA VIJEĆE'!I12)</f>
        <v>24548.75</v>
      </c>
      <c r="H47" s="285">
        <f t="shared" si="4"/>
        <v>2.1212161797846014</v>
      </c>
      <c r="I47" s="286">
        <f t="shared" si="1"/>
        <v>1</v>
      </c>
      <c r="J47" s="286">
        <f t="shared" si="2"/>
        <v>0.75534615384615389</v>
      </c>
    </row>
    <row r="48" spans="1:10" ht="20.25" x14ac:dyDescent="0.3">
      <c r="A48" s="283">
        <v>4</v>
      </c>
      <c r="B48" s="283" t="s">
        <v>1121</v>
      </c>
      <c r="C48" s="287">
        <f>SUM('RASHODI ZA VIJEĆE'!E15)</f>
        <v>8453.43</v>
      </c>
      <c r="D48" s="287">
        <f>SUM('RASHODI ZA VIJEĆE'!F15)</f>
        <v>12621.119999999999</v>
      </c>
      <c r="E48" s="287">
        <f>SUM('RASHODI ZA VIJEĆE'!G15)</f>
        <v>4800</v>
      </c>
      <c r="F48" s="287">
        <f>SUM('RASHODI ZA VIJEĆE'!H15)</f>
        <v>12700</v>
      </c>
      <c r="G48" s="287">
        <f>SUM('RASHODI ZA VIJEĆE'!I15)</f>
        <v>12621.119999999999</v>
      </c>
      <c r="H48" s="285">
        <f t="shared" ref="H48" si="6">IFERROR(SUM(G48/C48),0)</f>
        <v>1.493017627164358</v>
      </c>
      <c r="I48" s="286">
        <f t="shared" ref="I48" si="7">IFERROR(SUM(G48/D48),0)</f>
        <v>1</v>
      </c>
      <c r="J48" s="286">
        <f t="shared" ref="J48" si="8">IFERROR(SUM(G48/F48),0)</f>
        <v>0.99378897637795272</v>
      </c>
    </row>
    <row r="49" spans="1:10" ht="20.25" x14ac:dyDescent="0.3">
      <c r="A49" s="137"/>
      <c r="B49" s="137"/>
      <c r="C49" s="138"/>
      <c r="D49" s="138"/>
      <c r="E49" s="138"/>
      <c r="F49" s="138"/>
      <c r="G49" s="138"/>
      <c r="H49" s="272"/>
      <c r="I49" s="272"/>
      <c r="J49" s="272"/>
    </row>
    <row r="50" spans="1:10" s="337" customFormat="1" ht="20.25" x14ac:dyDescent="0.3">
      <c r="A50" s="444" t="s">
        <v>1003</v>
      </c>
      <c r="B50" s="444"/>
      <c r="C50" s="444"/>
      <c r="D50" s="444"/>
      <c r="E50" s="444"/>
      <c r="F50" s="444"/>
      <c r="G50" s="336"/>
      <c r="H50" s="336"/>
      <c r="I50" s="336"/>
      <c r="J50" s="336"/>
    </row>
    <row r="51" spans="1:10" ht="60.75" x14ac:dyDescent="0.25">
      <c r="A51" s="276" t="s">
        <v>557</v>
      </c>
      <c r="B51" s="276" t="s">
        <v>558</v>
      </c>
      <c r="C51" s="276" t="s">
        <v>1014</v>
      </c>
      <c r="D51" s="276" t="s">
        <v>1015</v>
      </c>
      <c r="E51" s="276" t="s">
        <v>1013</v>
      </c>
      <c r="F51" s="276" t="s">
        <v>979</v>
      </c>
      <c r="G51" s="276" t="s">
        <v>1112</v>
      </c>
      <c r="H51" s="277" t="s">
        <v>1011</v>
      </c>
      <c r="I51" s="277" t="s">
        <v>1009</v>
      </c>
      <c r="J51" s="277" t="s">
        <v>1012</v>
      </c>
    </row>
    <row r="52" spans="1:10" ht="20.25" x14ac:dyDescent="0.3">
      <c r="A52" s="283">
        <v>8</v>
      </c>
      <c r="B52" s="283" t="s">
        <v>865</v>
      </c>
      <c r="C52" s="284">
        <f>SUM('PRIHODI ZA VIJEĆE '!D11)</f>
        <v>3373.35</v>
      </c>
      <c r="D52" s="284">
        <f>SUM('PRIHODI ZA VIJEĆE '!E11)</f>
        <v>8096.04</v>
      </c>
      <c r="E52" s="284">
        <f>SUM('PRIHODI ZA VIJEĆE '!F11)</f>
        <v>8000</v>
      </c>
      <c r="F52" s="284">
        <f>SUM('PRIHODI ZA VIJEĆE '!G11)</f>
        <v>8000</v>
      </c>
      <c r="G52" s="284">
        <f>SUM('PRIHODI ZA VIJEĆE '!H11)</f>
        <v>8096.04</v>
      </c>
      <c r="H52" s="285">
        <f t="shared" ref="H52:H59" si="9">IFERROR(SUM(G52/C52),0)</f>
        <v>2.4</v>
      </c>
      <c r="I52" s="285">
        <f>IFERROR(SUM(G52/D52),0)</f>
        <v>1</v>
      </c>
      <c r="J52" s="285">
        <f t="shared" ref="J52:J59" si="10">IFERROR(SUM(G52/F52),0)</f>
        <v>1.012005</v>
      </c>
    </row>
    <row r="53" spans="1:10" ht="20.25" x14ac:dyDescent="0.3">
      <c r="A53" s="283">
        <v>5</v>
      </c>
      <c r="B53" s="283" t="s">
        <v>1004</v>
      </c>
      <c r="C53" s="284">
        <v>0</v>
      </c>
      <c r="D53" s="284">
        <v>0</v>
      </c>
      <c r="E53" s="284">
        <v>0</v>
      </c>
      <c r="F53" s="284">
        <v>0</v>
      </c>
      <c r="G53" s="284">
        <v>0</v>
      </c>
      <c r="H53" s="285">
        <f t="shared" si="9"/>
        <v>0</v>
      </c>
      <c r="I53" s="285">
        <f t="shared" ref="I53:I59" si="11">IFERROR(SUM(G53/D53),0)</f>
        <v>0</v>
      </c>
      <c r="J53" s="285">
        <f t="shared" si="10"/>
        <v>0</v>
      </c>
    </row>
    <row r="54" spans="1:10" s="274" customFormat="1" ht="20.25" x14ac:dyDescent="0.3">
      <c r="A54" s="280"/>
      <c r="B54" s="280" t="s">
        <v>1005</v>
      </c>
      <c r="C54" s="281">
        <f>SUM(C52-C53)</f>
        <v>3373.35</v>
      </c>
      <c r="D54" s="281">
        <f>SUM(D52-D53)</f>
        <v>8096.04</v>
      </c>
      <c r="E54" s="281">
        <f>SUM(E52-E53)</f>
        <v>8000</v>
      </c>
      <c r="F54" s="281">
        <f>SUM(F52-F53)</f>
        <v>8000</v>
      </c>
      <c r="G54" s="281">
        <f>SUM(G52-G53)</f>
        <v>8096.04</v>
      </c>
      <c r="H54" s="282">
        <f t="shared" si="9"/>
        <v>2.4</v>
      </c>
      <c r="I54" s="282">
        <f t="shared" si="11"/>
        <v>1</v>
      </c>
      <c r="J54" s="282">
        <f t="shared" si="10"/>
        <v>1.012005</v>
      </c>
    </row>
    <row r="55" spans="1:10" s="274" customFormat="1" ht="20.25" x14ac:dyDescent="0.3">
      <c r="A55" s="280"/>
      <c r="B55" s="280" t="s">
        <v>1006</v>
      </c>
      <c r="C55" s="281">
        <f>SUM(C56:C58)</f>
        <v>72501.299999999988</v>
      </c>
      <c r="D55" s="281">
        <f>SUM(D56:D58)</f>
        <v>75190.009999999995</v>
      </c>
      <c r="E55" s="281">
        <f>SUM(E56:E58)</f>
        <v>22000</v>
      </c>
      <c r="F55" s="281">
        <f>SUM(F56:F58)</f>
        <v>72800</v>
      </c>
      <c r="G55" s="281">
        <f>SUM(G56:G58)</f>
        <v>75190.009999999995</v>
      </c>
      <c r="H55" s="282">
        <f t="shared" si="9"/>
        <v>1.0370849902001757</v>
      </c>
      <c r="I55" s="282">
        <f t="shared" si="11"/>
        <v>1</v>
      </c>
      <c r="J55" s="282">
        <f t="shared" si="10"/>
        <v>1.0328298076923077</v>
      </c>
    </row>
    <row r="56" spans="1:10" ht="19.5" customHeight="1" x14ac:dyDescent="0.3">
      <c r="A56" s="283">
        <v>9</v>
      </c>
      <c r="B56" s="283" t="s">
        <v>921</v>
      </c>
      <c r="C56" s="287">
        <f>SUM('PRIHODI ZA VIJEĆE '!D12)</f>
        <v>66550.42</v>
      </c>
      <c r="D56" s="287">
        <f>SUM('PRIHODI ZA VIJEĆE '!E12)</f>
        <v>66550.42</v>
      </c>
      <c r="E56" s="287">
        <f>SUM('PRIHODI ZA VIJEĆE '!F12)</f>
        <v>14000</v>
      </c>
      <c r="F56" s="287">
        <f>SUM('PRIHODI ZA VIJEĆE '!G12)</f>
        <v>66800</v>
      </c>
      <c r="G56" s="287">
        <f>SUM('PRIHODI ZA VIJEĆE '!H12)</f>
        <v>66550.42</v>
      </c>
      <c r="H56" s="285">
        <f t="shared" si="9"/>
        <v>1</v>
      </c>
      <c r="I56" s="285">
        <f t="shared" si="11"/>
        <v>1</v>
      </c>
      <c r="J56" s="285">
        <f t="shared" si="10"/>
        <v>0.99626377245508979</v>
      </c>
    </row>
    <row r="57" spans="1:10" ht="20.25" x14ac:dyDescent="0.3">
      <c r="A57" s="283">
        <v>9</v>
      </c>
      <c r="B57" s="283" t="s">
        <v>922</v>
      </c>
      <c r="C57" s="287">
        <f>SUM('PRIHODI ZA VIJEĆE '!D13)</f>
        <v>4567.1499999999996</v>
      </c>
      <c r="D57" s="287">
        <f>SUM('PRIHODI ZA VIJEĆE '!E13)</f>
        <v>7247.78</v>
      </c>
      <c r="E57" s="287">
        <f>SUM('PRIHODI ZA VIJEĆE '!F13)</f>
        <v>8000</v>
      </c>
      <c r="F57" s="287">
        <f>SUM('PRIHODI ZA VIJEĆE '!G13)</f>
        <v>4600</v>
      </c>
      <c r="G57" s="287">
        <f>SUM('PRIHODI ZA VIJEĆE '!H13)</f>
        <v>7247.78</v>
      </c>
      <c r="H57" s="285">
        <f t="shared" si="9"/>
        <v>1.586937148987881</v>
      </c>
      <c r="I57" s="285">
        <f t="shared" si="11"/>
        <v>1</v>
      </c>
      <c r="J57" s="285">
        <f t="shared" si="10"/>
        <v>1.5756043478260868</v>
      </c>
    </row>
    <row r="58" spans="1:10" ht="20.25" x14ac:dyDescent="0.3">
      <c r="A58" s="283">
        <v>9</v>
      </c>
      <c r="B58" s="283" t="s">
        <v>998</v>
      </c>
      <c r="C58" s="287">
        <f>SUM('PRIHODI ZA VIJEĆE '!D131)</f>
        <v>1383.73</v>
      </c>
      <c r="D58" s="287">
        <f>SUM('PRIHODI ZA VIJEĆE '!E131)</f>
        <v>1391.81</v>
      </c>
      <c r="E58" s="287">
        <f>SUM('PRIHODI ZA VIJEĆE '!F131)</f>
        <v>0</v>
      </c>
      <c r="F58" s="287">
        <f>SUM('PRIHODI ZA VIJEĆE '!G131)</f>
        <v>1400</v>
      </c>
      <c r="G58" s="287">
        <f>SUM('PRIHODI ZA VIJEĆE '!H131)</f>
        <v>1391.81</v>
      </c>
      <c r="H58" s="285">
        <f t="shared" si="9"/>
        <v>1.005839289456758</v>
      </c>
      <c r="I58" s="285">
        <f t="shared" si="11"/>
        <v>1</v>
      </c>
      <c r="J58" s="285">
        <f t="shared" si="10"/>
        <v>0.99414999999999998</v>
      </c>
    </row>
    <row r="59" spans="1:10" s="274" customFormat="1" ht="20.25" x14ac:dyDescent="0.3">
      <c r="A59" s="280"/>
      <c r="B59" s="280" t="s">
        <v>1007</v>
      </c>
      <c r="C59" s="281">
        <f>SUM(C54+C55)</f>
        <v>75874.649999999994</v>
      </c>
      <c r="D59" s="281">
        <f>SUM(D54+D55)</f>
        <v>83286.049999999988</v>
      </c>
      <c r="E59" s="281">
        <f>SUM(E54+E55)</f>
        <v>30000</v>
      </c>
      <c r="F59" s="281">
        <f>SUM(F54+F55)</f>
        <v>80800</v>
      </c>
      <c r="G59" s="281">
        <f>SUM(G54+G55)</f>
        <v>83286.049999999988</v>
      </c>
      <c r="H59" s="282">
        <f t="shared" si="9"/>
        <v>1.0976795280110023</v>
      </c>
      <c r="I59" s="282">
        <f t="shared" si="11"/>
        <v>1</v>
      </c>
      <c r="J59" s="282">
        <f t="shared" si="10"/>
        <v>1.0307679455445544</v>
      </c>
    </row>
    <row r="61" spans="1:10" x14ac:dyDescent="0.3">
      <c r="C61" s="447"/>
      <c r="D61" s="447"/>
      <c r="E61" s="447"/>
      <c r="F61" s="447"/>
    </row>
    <row r="62" spans="1:10" x14ac:dyDescent="0.3">
      <c r="C62" s="449"/>
      <c r="D62" s="449"/>
      <c r="E62" s="447"/>
      <c r="F62" s="447"/>
    </row>
    <row r="63" spans="1:10" x14ac:dyDescent="0.3">
      <c r="C63" s="447"/>
      <c r="D63" s="447"/>
      <c r="E63" s="447"/>
      <c r="F63" s="447"/>
    </row>
    <row r="64" spans="1:10" x14ac:dyDescent="0.3">
      <c r="C64" s="447"/>
      <c r="D64" s="447"/>
      <c r="E64" s="447"/>
      <c r="F64" s="447"/>
    </row>
    <row r="65" spans="3:6" x14ac:dyDescent="0.3">
      <c r="C65" s="447"/>
      <c r="D65" s="447"/>
      <c r="E65" s="447"/>
      <c r="F65" s="447"/>
    </row>
    <row r="66" spans="3:6" x14ac:dyDescent="0.3">
      <c r="C66" s="447"/>
      <c r="D66" s="447"/>
      <c r="E66" s="447"/>
      <c r="F66" s="447"/>
    </row>
    <row r="67" spans="3:6" x14ac:dyDescent="0.3">
      <c r="C67" s="447"/>
      <c r="D67" s="447"/>
      <c r="E67" s="447"/>
      <c r="F67" s="447"/>
    </row>
    <row r="68" spans="3:6" x14ac:dyDescent="0.3">
      <c r="C68" s="447"/>
      <c r="D68" s="447"/>
      <c r="E68" s="447"/>
      <c r="F68" s="447"/>
    </row>
    <row r="69" spans="3:6" x14ac:dyDescent="0.3">
      <c r="C69" s="447"/>
      <c r="D69" s="447"/>
      <c r="E69" s="447"/>
      <c r="F69" s="447"/>
    </row>
    <row r="70" spans="3:6" x14ac:dyDescent="0.3">
      <c r="C70" s="447"/>
      <c r="D70" s="447"/>
      <c r="E70" s="447"/>
      <c r="F70" s="447"/>
    </row>
    <row r="71" spans="3:6" x14ac:dyDescent="0.3">
      <c r="C71" s="447"/>
      <c r="D71" s="447"/>
      <c r="E71" s="447"/>
      <c r="F71" s="447"/>
    </row>
    <row r="72" spans="3:6" x14ac:dyDescent="0.3">
      <c r="C72" s="447"/>
      <c r="D72" s="447"/>
      <c r="E72" s="447"/>
      <c r="F72" s="447"/>
    </row>
    <row r="73" spans="3:6" x14ac:dyDescent="0.3">
      <c r="C73" s="447"/>
      <c r="D73" s="447"/>
      <c r="E73" s="447"/>
      <c r="F73" s="447"/>
    </row>
    <row r="74" spans="3:6" x14ac:dyDescent="0.3">
      <c r="C74" s="447"/>
      <c r="D74" s="447"/>
      <c r="E74" s="447"/>
      <c r="F74" s="447"/>
    </row>
    <row r="75" spans="3:6" x14ac:dyDescent="0.3">
      <c r="C75" s="447"/>
      <c r="D75" s="447"/>
      <c r="E75" s="447"/>
      <c r="F75" s="447"/>
    </row>
    <row r="76" spans="3:6" x14ac:dyDescent="0.3">
      <c r="C76" s="447"/>
      <c r="D76" s="447"/>
      <c r="E76" s="447"/>
      <c r="F76" s="447"/>
    </row>
    <row r="77" spans="3:6" x14ac:dyDescent="0.3">
      <c r="C77" s="447"/>
      <c r="D77" s="447"/>
      <c r="E77" s="447"/>
      <c r="F77" s="447"/>
    </row>
    <row r="78" spans="3:6" x14ac:dyDescent="0.3">
      <c r="C78" s="447"/>
      <c r="D78" s="447"/>
      <c r="E78" s="447"/>
      <c r="F78" s="447"/>
    </row>
    <row r="79" spans="3:6" x14ac:dyDescent="0.3">
      <c r="C79" s="447"/>
      <c r="D79" s="447"/>
      <c r="E79" s="447"/>
      <c r="F79" s="447"/>
    </row>
    <row r="80" spans="3:6" x14ac:dyDescent="0.3">
      <c r="C80" s="447"/>
      <c r="D80" s="447"/>
      <c r="E80" s="447"/>
      <c r="F80" s="447"/>
    </row>
    <row r="81" spans="3:6" x14ac:dyDescent="0.3">
      <c r="C81" s="447"/>
      <c r="D81" s="447"/>
      <c r="E81" s="447"/>
      <c r="F81" s="447"/>
    </row>
    <row r="82" spans="3:6" x14ac:dyDescent="0.3">
      <c r="C82" s="447"/>
      <c r="D82" s="447"/>
      <c r="E82" s="447"/>
      <c r="F82" s="447"/>
    </row>
    <row r="83" spans="3:6" x14ac:dyDescent="0.3">
      <c r="C83" s="447"/>
      <c r="D83" s="447"/>
      <c r="E83" s="447"/>
      <c r="F83" s="447"/>
    </row>
    <row r="84" spans="3:6" x14ac:dyDescent="0.3">
      <c r="C84" s="447"/>
      <c r="D84" s="447"/>
      <c r="E84" s="447"/>
      <c r="F84" s="447"/>
    </row>
    <row r="85" spans="3:6" x14ac:dyDescent="0.3">
      <c r="C85" s="447"/>
      <c r="D85" s="447"/>
      <c r="E85" s="447"/>
      <c r="F85" s="447"/>
    </row>
    <row r="86" spans="3:6" x14ac:dyDescent="0.3">
      <c r="C86" s="447"/>
      <c r="D86" s="447"/>
      <c r="E86" s="447"/>
      <c r="F86" s="447"/>
    </row>
    <row r="87" spans="3:6" x14ac:dyDescent="0.3">
      <c r="C87" s="447"/>
      <c r="D87" s="447"/>
      <c r="E87" s="447"/>
      <c r="F87" s="447"/>
    </row>
    <row r="88" spans="3:6" x14ac:dyDescent="0.3">
      <c r="C88" s="447"/>
      <c r="D88" s="447"/>
      <c r="E88" s="447"/>
      <c r="F88" s="447"/>
    </row>
    <row r="89" spans="3:6" x14ac:dyDescent="0.3">
      <c r="C89" s="447"/>
      <c r="D89" s="447"/>
      <c r="E89" s="447"/>
      <c r="F89" s="447"/>
    </row>
    <row r="90" spans="3:6" x14ac:dyDescent="0.3">
      <c r="C90" s="447"/>
      <c r="D90" s="447"/>
      <c r="E90" s="447"/>
      <c r="F90" s="447"/>
    </row>
    <row r="91" spans="3:6" x14ac:dyDescent="0.3">
      <c r="C91" s="447"/>
      <c r="D91" s="447"/>
      <c r="E91" s="447"/>
      <c r="F91" s="447"/>
    </row>
    <row r="92" spans="3:6" x14ac:dyDescent="0.3">
      <c r="C92" s="447"/>
      <c r="D92" s="447"/>
      <c r="E92" s="447"/>
      <c r="F92" s="447"/>
    </row>
    <row r="93" spans="3:6" x14ac:dyDescent="0.3">
      <c r="C93" s="447"/>
      <c r="D93" s="447"/>
      <c r="E93" s="447"/>
      <c r="F93" s="447"/>
    </row>
    <row r="94" spans="3:6" x14ac:dyDescent="0.3">
      <c r="C94" s="447"/>
      <c r="D94" s="447"/>
      <c r="E94" s="447"/>
      <c r="F94" s="447"/>
    </row>
    <row r="95" spans="3:6" x14ac:dyDescent="0.3">
      <c r="C95" s="447"/>
      <c r="D95" s="447"/>
      <c r="E95" s="447"/>
      <c r="F95" s="447"/>
    </row>
    <row r="96" spans="3:6" x14ac:dyDescent="0.3">
      <c r="C96" s="447"/>
      <c r="D96" s="447"/>
      <c r="E96" s="447"/>
      <c r="F96" s="447"/>
    </row>
    <row r="97" spans="3:6" x14ac:dyDescent="0.3">
      <c r="C97" s="447"/>
      <c r="D97" s="447"/>
      <c r="E97" s="447"/>
      <c r="F97" s="447"/>
    </row>
    <row r="98" spans="3:6" x14ac:dyDescent="0.3">
      <c r="C98" s="447"/>
      <c r="D98" s="447"/>
      <c r="E98" s="447"/>
      <c r="F98" s="447"/>
    </row>
    <row r="99" spans="3:6" x14ac:dyDescent="0.3">
      <c r="C99" s="447"/>
      <c r="D99" s="447"/>
      <c r="E99" s="447"/>
      <c r="F99" s="447"/>
    </row>
    <row r="100" spans="3:6" x14ac:dyDescent="0.3">
      <c r="C100" s="447"/>
      <c r="D100" s="447"/>
      <c r="E100" s="447"/>
      <c r="F100" s="447"/>
    </row>
    <row r="101" spans="3:6" x14ac:dyDescent="0.3">
      <c r="C101" s="447"/>
      <c r="D101" s="447"/>
      <c r="E101" s="447"/>
      <c r="F101" s="447"/>
    </row>
    <row r="102" spans="3:6" x14ac:dyDescent="0.3">
      <c r="C102" s="447"/>
      <c r="D102" s="447"/>
      <c r="E102" s="447"/>
      <c r="F102" s="447"/>
    </row>
    <row r="103" spans="3:6" x14ac:dyDescent="0.3">
      <c r="C103" s="447"/>
      <c r="D103" s="447"/>
      <c r="E103" s="447"/>
      <c r="F103" s="447"/>
    </row>
    <row r="104" spans="3:6" x14ac:dyDescent="0.3">
      <c r="C104" s="447"/>
      <c r="D104" s="447"/>
      <c r="E104" s="447"/>
      <c r="F104" s="447"/>
    </row>
    <row r="105" spans="3:6" x14ac:dyDescent="0.3">
      <c r="C105" s="447"/>
      <c r="D105" s="447"/>
      <c r="E105" s="447"/>
      <c r="F105" s="447"/>
    </row>
    <row r="106" spans="3:6" x14ac:dyDescent="0.3">
      <c r="C106" s="447"/>
      <c r="D106" s="447"/>
      <c r="E106" s="447"/>
      <c r="F106" s="447"/>
    </row>
    <row r="107" spans="3:6" x14ac:dyDescent="0.3">
      <c r="C107" s="447"/>
      <c r="D107" s="447"/>
      <c r="E107" s="447"/>
      <c r="F107" s="447"/>
    </row>
    <row r="108" spans="3:6" x14ac:dyDescent="0.3">
      <c r="C108" s="447"/>
      <c r="D108" s="447"/>
      <c r="E108" s="447"/>
      <c r="F108" s="447"/>
    </row>
    <row r="109" spans="3:6" x14ac:dyDescent="0.3">
      <c r="C109" s="447"/>
      <c r="D109" s="447"/>
      <c r="E109" s="447"/>
      <c r="F109" s="447"/>
    </row>
    <row r="110" spans="3:6" x14ac:dyDescent="0.3">
      <c r="C110" s="447"/>
      <c r="D110" s="447"/>
      <c r="E110" s="447"/>
      <c r="F110" s="447"/>
    </row>
    <row r="111" spans="3:6" x14ac:dyDescent="0.3">
      <c r="C111" s="447"/>
      <c r="D111" s="447"/>
      <c r="E111" s="447"/>
      <c r="F111" s="447"/>
    </row>
    <row r="112" spans="3:6" x14ac:dyDescent="0.3">
      <c r="C112" s="447"/>
      <c r="D112" s="447"/>
      <c r="E112" s="447"/>
      <c r="F112" s="447"/>
    </row>
    <row r="113" spans="3:6" x14ac:dyDescent="0.3">
      <c r="C113" s="447"/>
      <c r="D113" s="447"/>
      <c r="E113" s="447"/>
      <c r="F113" s="447"/>
    </row>
    <row r="114" spans="3:6" x14ac:dyDescent="0.3">
      <c r="C114" s="447"/>
      <c r="D114" s="447"/>
      <c r="E114" s="447"/>
      <c r="F114" s="447"/>
    </row>
    <row r="115" spans="3:6" x14ac:dyDescent="0.3">
      <c r="C115" s="447"/>
      <c r="D115" s="447"/>
      <c r="E115" s="447"/>
      <c r="F115" s="447"/>
    </row>
    <row r="116" spans="3:6" x14ac:dyDescent="0.3">
      <c r="C116" s="447"/>
      <c r="D116" s="447"/>
      <c r="E116" s="447"/>
      <c r="F116" s="447"/>
    </row>
    <row r="117" spans="3:6" x14ac:dyDescent="0.3">
      <c r="C117" s="447"/>
      <c r="D117" s="447"/>
      <c r="E117" s="447"/>
      <c r="F117" s="447"/>
    </row>
    <row r="118" spans="3:6" x14ac:dyDescent="0.3">
      <c r="C118" s="447"/>
      <c r="D118" s="447"/>
      <c r="E118" s="447"/>
      <c r="F118" s="447"/>
    </row>
    <row r="119" spans="3:6" x14ac:dyDescent="0.3">
      <c r="C119" s="447"/>
      <c r="D119" s="447"/>
      <c r="E119" s="447"/>
      <c r="F119" s="447"/>
    </row>
    <row r="120" spans="3:6" x14ac:dyDescent="0.3">
      <c r="C120" s="447"/>
      <c r="D120" s="447"/>
      <c r="E120" s="447"/>
      <c r="F120" s="447"/>
    </row>
    <row r="121" spans="3:6" x14ac:dyDescent="0.3">
      <c r="C121" s="447"/>
      <c r="D121" s="447"/>
      <c r="E121" s="447"/>
      <c r="F121" s="447"/>
    </row>
    <row r="122" spans="3:6" x14ac:dyDescent="0.3">
      <c r="C122" s="447"/>
      <c r="D122" s="447"/>
      <c r="E122" s="447"/>
      <c r="F122" s="447"/>
    </row>
    <row r="123" spans="3:6" x14ac:dyDescent="0.3">
      <c r="C123" s="447"/>
      <c r="D123" s="447"/>
      <c r="E123" s="447"/>
      <c r="F123" s="447"/>
    </row>
    <row r="124" spans="3:6" x14ac:dyDescent="0.3">
      <c r="C124" s="447"/>
      <c r="D124" s="447"/>
      <c r="E124" s="447"/>
      <c r="F124" s="447"/>
    </row>
    <row r="125" spans="3:6" x14ac:dyDescent="0.3">
      <c r="C125" s="447"/>
      <c r="D125" s="447"/>
      <c r="E125" s="447"/>
      <c r="F125" s="447"/>
    </row>
    <row r="126" spans="3:6" x14ac:dyDescent="0.3">
      <c r="C126" s="447"/>
      <c r="D126" s="447"/>
      <c r="E126" s="447"/>
      <c r="F126" s="447"/>
    </row>
    <row r="127" spans="3:6" x14ac:dyDescent="0.3">
      <c r="C127" s="447"/>
      <c r="D127" s="447"/>
      <c r="E127" s="447"/>
      <c r="F127" s="447"/>
    </row>
    <row r="128" spans="3:6" x14ac:dyDescent="0.3">
      <c r="C128" s="447"/>
      <c r="D128" s="447"/>
      <c r="E128" s="447"/>
      <c r="F128" s="447"/>
    </row>
    <row r="129" spans="3:6" x14ac:dyDescent="0.3">
      <c r="C129" s="447"/>
      <c r="D129" s="447"/>
      <c r="E129" s="447"/>
      <c r="F129" s="447"/>
    </row>
    <row r="130" spans="3:6" x14ac:dyDescent="0.3">
      <c r="C130" s="447"/>
      <c r="D130" s="447"/>
      <c r="E130" s="447"/>
      <c r="F130" s="447"/>
    </row>
    <row r="131" spans="3:6" x14ac:dyDescent="0.3">
      <c r="C131" s="447"/>
      <c r="D131" s="447"/>
      <c r="E131" s="447"/>
      <c r="F131" s="447"/>
    </row>
    <row r="132" spans="3:6" x14ac:dyDescent="0.3">
      <c r="C132" s="447"/>
      <c r="D132" s="447"/>
      <c r="E132" s="447"/>
      <c r="F132" s="447"/>
    </row>
    <row r="133" spans="3:6" x14ac:dyDescent="0.3">
      <c r="C133" s="447"/>
      <c r="D133" s="447"/>
      <c r="E133" s="447"/>
      <c r="F133" s="447"/>
    </row>
    <row r="134" spans="3:6" x14ac:dyDescent="0.3">
      <c r="C134" s="447"/>
      <c r="D134" s="447"/>
      <c r="E134" s="447"/>
      <c r="F134" s="447"/>
    </row>
    <row r="135" spans="3:6" x14ac:dyDescent="0.3">
      <c r="C135" s="447"/>
      <c r="D135" s="447"/>
      <c r="E135" s="447"/>
      <c r="F135" s="447"/>
    </row>
    <row r="136" spans="3:6" x14ac:dyDescent="0.3">
      <c r="C136" s="447"/>
      <c r="D136" s="447"/>
      <c r="E136" s="447"/>
      <c r="F136" s="447"/>
    </row>
    <row r="137" spans="3:6" x14ac:dyDescent="0.3">
      <c r="C137" s="447"/>
      <c r="D137" s="447"/>
      <c r="E137" s="447"/>
      <c r="F137" s="447"/>
    </row>
    <row r="138" spans="3:6" x14ac:dyDescent="0.3">
      <c r="C138" s="447"/>
      <c r="D138" s="447"/>
      <c r="E138" s="447"/>
      <c r="F138" s="447"/>
    </row>
    <row r="139" spans="3:6" x14ac:dyDescent="0.3">
      <c r="C139" s="447"/>
      <c r="D139" s="447"/>
      <c r="E139" s="447"/>
      <c r="F139" s="447"/>
    </row>
    <row r="140" spans="3:6" x14ac:dyDescent="0.3">
      <c r="C140" s="447"/>
      <c r="D140" s="447"/>
      <c r="E140" s="447"/>
      <c r="F140" s="447"/>
    </row>
    <row r="141" spans="3:6" x14ac:dyDescent="0.3">
      <c r="C141" s="447"/>
      <c r="D141" s="447"/>
      <c r="E141" s="447"/>
      <c r="F141" s="447"/>
    </row>
    <row r="142" spans="3:6" x14ac:dyDescent="0.3">
      <c r="C142" s="447"/>
      <c r="D142" s="447"/>
      <c r="E142" s="447"/>
      <c r="F142" s="447"/>
    </row>
    <row r="143" spans="3:6" x14ac:dyDescent="0.3">
      <c r="C143" s="447"/>
      <c r="D143" s="447"/>
      <c r="E143" s="447"/>
      <c r="F143" s="447"/>
    </row>
    <row r="144" spans="3:6" x14ac:dyDescent="0.3">
      <c r="C144" s="447"/>
      <c r="D144" s="447"/>
      <c r="E144" s="447"/>
      <c r="F144" s="447"/>
    </row>
    <row r="145" spans="3:6" x14ac:dyDescent="0.3">
      <c r="C145" s="447"/>
      <c r="D145" s="447"/>
      <c r="E145" s="447"/>
      <c r="F145" s="447"/>
    </row>
    <row r="146" spans="3:6" x14ac:dyDescent="0.3">
      <c r="C146" s="447"/>
      <c r="D146" s="447"/>
      <c r="E146" s="447"/>
      <c r="F146" s="447"/>
    </row>
    <row r="147" spans="3:6" x14ac:dyDescent="0.3">
      <c r="C147" s="447"/>
      <c r="D147" s="447"/>
      <c r="E147" s="447"/>
      <c r="F147" s="447"/>
    </row>
    <row r="148" spans="3:6" x14ac:dyDescent="0.3">
      <c r="C148" s="447"/>
      <c r="D148" s="447"/>
      <c r="E148" s="447"/>
      <c r="F148" s="447"/>
    </row>
    <row r="149" spans="3:6" x14ac:dyDescent="0.3">
      <c r="C149" s="447"/>
      <c r="D149" s="447"/>
      <c r="E149" s="447"/>
      <c r="F149" s="447"/>
    </row>
    <row r="150" spans="3:6" x14ac:dyDescent="0.3">
      <c r="C150" s="447"/>
      <c r="D150" s="447"/>
      <c r="E150" s="447"/>
      <c r="F150" s="447"/>
    </row>
  </sheetData>
  <mergeCells count="16">
    <mergeCell ref="A22:J22"/>
    <mergeCell ref="A24:J24"/>
    <mergeCell ref="A17:J17"/>
    <mergeCell ref="A18:J18"/>
    <mergeCell ref="A19:J19"/>
    <mergeCell ref="A5:J5"/>
    <mergeCell ref="A10:J10"/>
    <mergeCell ref="A1:J1"/>
    <mergeCell ref="A2:J2"/>
    <mergeCell ref="A3:J3"/>
    <mergeCell ref="A12:J12"/>
    <mergeCell ref="A13:J13"/>
    <mergeCell ref="A14:J14"/>
    <mergeCell ref="A20:J20"/>
    <mergeCell ref="A7:J7"/>
    <mergeCell ref="A8:J8"/>
  </mergeCells>
  <pageMargins left="0.39370078740157483" right="0.39370078740157483" top="0.59055118110236227" bottom="0.39370078740157483" header="0.31496062992125984" footer="0.31496062992125984"/>
  <pageSetup paperSize="9" scale="58" fitToHeight="0" orientation="landscape" r:id="rId1"/>
  <headerFooter>
    <oddFooter>&amp;R&amp;14&amp;P</oddFooter>
  </headerFooter>
  <rowBreaks count="1" manualBreakCount="1">
    <brk id="43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/>
  <dimension ref="A1:Y569"/>
  <sheetViews>
    <sheetView tabSelected="1" view="pageBreakPreview" topLeftCell="B1" zoomScale="90" zoomScaleNormal="100" zoomScaleSheetLayoutView="90" workbookViewId="0">
      <pane ySplit="2" topLeftCell="A3" activePane="bottomLeft" state="frozen"/>
      <selection activeCell="D1" sqref="D1"/>
      <selection pane="bottomLeft" activeCell="F1" sqref="F1:F1048576"/>
    </sheetView>
  </sheetViews>
  <sheetFormatPr defaultRowHeight="15.75" x14ac:dyDescent="0.25"/>
  <cols>
    <col min="1" max="1" width="5" style="25" customWidth="1"/>
    <col min="2" max="2" width="10.7109375" style="24" customWidth="1"/>
    <col min="3" max="3" width="70.7109375" style="26" customWidth="1"/>
    <col min="4" max="4" width="18.7109375" style="48" customWidth="1"/>
    <col min="5" max="6" width="18.7109375" style="197" customWidth="1"/>
    <col min="7" max="9" width="18.7109375" style="27" customWidth="1"/>
    <col min="10" max="10" width="9.85546875" style="27" customWidth="1"/>
    <col min="11" max="11" width="8.7109375" style="28" customWidth="1"/>
    <col min="12" max="13" width="8.7109375" style="83" customWidth="1"/>
    <col min="14" max="16" width="9.140625" style="76"/>
    <col min="17" max="18" width="9.140625" style="74"/>
    <col min="19" max="19" width="8.85546875" style="74" customWidth="1"/>
    <col min="20" max="21" width="9.140625" style="109"/>
    <col min="22" max="258" width="9.140625" style="25"/>
    <col min="259" max="259" width="5" style="25" customWidth="1"/>
    <col min="260" max="260" width="10.7109375" style="25" customWidth="1"/>
    <col min="261" max="261" width="70.7109375" style="25" customWidth="1"/>
    <col min="262" max="266" width="14.7109375" style="25" customWidth="1"/>
    <col min="267" max="268" width="8.7109375" style="25" customWidth="1"/>
    <col min="269" max="269" width="15.42578125" style="25" customWidth="1"/>
    <col min="270" max="270" width="16" style="25" bestFit="1" customWidth="1"/>
    <col min="271" max="271" width="11" style="25" bestFit="1" customWidth="1"/>
    <col min="272" max="272" width="9.140625" style="25"/>
    <col min="273" max="273" width="12.5703125" style="25" bestFit="1" customWidth="1"/>
    <col min="274" max="514" width="9.140625" style="25"/>
    <col min="515" max="515" width="5" style="25" customWidth="1"/>
    <col min="516" max="516" width="10.7109375" style="25" customWidth="1"/>
    <col min="517" max="517" width="70.7109375" style="25" customWidth="1"/>
    <col min="518" max="522" width="14.7109375" style="25" customWidth="1"/>
    <col min="523" max="524" width="8.7109375" style="25" customWidth="1"/>
    <col min="525" max="525" width="15.42578125" style="25" customWidth="1"/>
    <col min="526" max="526" width="16" style="25" bestFit="1" customWidth="1"/>
    <col min="527" max="527" width="11" style="25" bestFit="1" customWidth="1"/>
    <col min="528" max="528" width="9.140625" style="25"/>
    <col min="529" max="529" width="12.5703125" style="25" bestFit="1" customWidth="1"/>
    <col min="530" max="770" width="9.140625" style="25"/>
    <col min="771" max="771" width="5" style="25" customWidth="1"/>
    <col min="772" max="772" width="10.7109375" style="25" customWidth="1"/>
    <col min="773" max="773" width="70.7109375" style="25" customWidth="1"/>
    <col min="774" max="778" width="14.7109375" style="25" customWidth="1"/>
    <col min="779" max="780" width="8.7109375" style="25" customWidth="1"/>
    <col min="781" max="781" width="15.42578125" style="25" customWidth="1"/>
    <col min="782" max="782" width="16" style="25" bestFit="1" customWidth="1"/>
    <col min="783" max="783" width="11" style="25" bestFit="1" customWidth="1"/>
    <col min="784" max="784" width="9.140625" style="25"/>
    <col min="785" max="785" width="12.5703125" style="25" bestFit="1" customWidth="1"/>
    <col min="786" max="1026" width="9.140625" style="25"/>
    <col min="1027" max="1027" width="5" style="25" customWidth="1"/>
    <col min="1028" max="1028" width="10.7109375" style="25" customWidth="1"/>
    <col min="1029" max="1029" width="70.7109375" style="25" customWidth="1"/>
    <col min="1030" max="1034" width="14.7109375" style="25" customWidth="1"/>
    <col min="1035" max="1036" width="8.7109375" style="25" customWidth="1"/>
    <col min="1037" max="1037" width="15.42578125" style="25" customWidth="1"/>
    <col min="1038" max="1038" width="16" style="25" bestFit="1" customWidth="1"/>
    <col min="1039" max="1039" width="11" style="25" bestFit="1" customWidth="1"/>
    <col min="1040" max="1040" width="9.140625" style="25"/>
    <col min="1041" max="1041" width="12.5703125" style="25" bestFit="1" customWidth="1"/>
    <col min="1042" max="1282" width="9.140625" style="25"/>
    <col min="1283" max="1283" width="5" style="25" customWidth="1"/>
    <col min="1284" max="1284" width="10.7109375" style="25" customWidth="1"/>
    <col min="1285" max="1285" width="70.7109375" style="25" customWidth="1"/>
    <col min="1286" max="1290" width="14.7109375" style="25" customWidth="1"/>
    <col min="1291" max="1292" width="8.7109375" style="25" customWidth="1"/>
    <col min="1293" max="1293" width="15.42578125" style="25" customWidth="1"/>
    <col min="1294" max="1294" width="16" style="25" bestFit="1" customWidth="1"/>
    <col min="1295" max="1295" width="11" style="25" bestFit="1" customWidth="1"/>
    <col min="1296" max="1296" width="9.140625" style="25"/>
    <col min="1297" max="1297" width="12.5703125" style="25" bestFit="1" customWidth="1"/>
    <col min="1298" max="1538" width="9.140625" style="25"/>
    <col min="1539" max="1539" width="5" style="25" customWidth="1"/>
    <col min="1540" max="1540" width="10.7109375" style="25" customWidth="1"/>
    <col min="1541" max="1541" width="70.7109375" style="25" customWidth="1"/>
    <col min="1542" max="1546" width="14.7109375" style="25" customWidth="1"/>
    <col min="1547" max="1548" width="8.7109375" style="25" customWidth="1"/>
    <col min="1549" max="1549" width="15.42578125" style="25" customWidth="1"/>
    <col min="1550" max="1550" width="16" style="25" bestFit="1" customWidth="1"/>
    <col min="1551" max="1551" width="11" style="25" bestFit="1" customWidth="1"/>
    <col min="1552" max="1552" width="9.140625" style="25"/>
    <col min="1553" max="1553" width="12.5703125" style="25" bestFit="1" customWidth="1"/>
    <col min="1554" max="1794" width="9.140625" style="25"/>
    <col min="1795" max="1795" width="5" style="25" customWidth="1"/>
    <col min="1796" max="1796" width="10.7109375" style="25" customWidth="1"/>
    <col min="1797" max="1797" width="70.7109375" style="25" customWidth="1"/>
    <col min="1798" max="1802" width="14.7109375" style="25" customWidth="1"/>
    <col min="1803" max="1804" width="8.7109375" style="25" customWidth="1"/>
    <col min="1805" max="1805" width="15.42578125" style="25" customWidth="1"/>
    <col min="1806" max="1806" width="16" style="25" bestFit="1" customWidth="1"/>
    <col min="1807" max="1807" width="11" style="25" bestFit="1" customWidth="1"/>
    <col min="1808" max="1808" width="9.140625" style="25"/>
    <col min="1809" max="1809" width="12.5703125" style="25" bestFit="1" customWidth="1"/>
    <col min="1810" max="2050" width="9.140625" style="25"/>
    <col min="2051" max="2051" width="5" style="25" customWidth="1"/>
    <col min="2052" max="2052" width="10.7109375" style="25" customWidth="1"/>
    <col min="2053" max="2053" width="70.7109375" style="25" customWidth="1"/>
    <col min="2054" max="2058" width="14.7109375" style="25" customWidth="1"/>
    <col min="2059" max="2060" width="8.7109375" style="25" customWidth="1"/>
    <col min="2061" max="2061" width="15.42578125" style="25" customWidth="1"/>
    <col min="2062" max="2062" width="16" style="25" bestFit="1" customWidth="1"/>
    <col min="2063" max="2063" width="11" style="25" bestFit="1" customWidth="1"/>
    <col min="2064" max="2064" width="9.140625" style="25"/>
    <col min="2065" max="2065" width="12.5703125" style="25" bestFit="1" customWidth="1"/>
    <col min="2066" max="2306" width="9.140625" style="25"/>
    <col min="2307" max="2307" width="5" style="25" customWidth="1"/>
    <col min="2308" max="2308" width="10.7109375" style="25" customWidth="1"/>
    <col min="2309" max="2309" width="70.7109375" style="25" customWidth="1"/>
    <col min="2310" max="2314" width="14.7109375" style="25" customWidth="1"/>
    <col min="2315" max="2316" width="8.7109375" style="25" customWidth="1"/>
    <col min="2317" max="2317" width="15.42578125" style="25" customWidth="1"/>
    <col min="2318" max="2318" width="16" style="25" bestFit="1" customWidth="1"/>
    <col min="2319" max="2319" width="11" style="25" bestFit="1" customWidth="1"/>
    <col min="2320" max="2320" width="9.140625" style="25"/>
    <col min="2321" max="2321" width="12.5703125" style="25" bestFit="1" customWidth="1"/>
    <col min="2322" max="2562" width="9.140625" style="25"/>
    <col min="2563" max="2563" width="5" style="25" customWidth="1"/>
    <col min="2564" max="2564" width="10.7109375" style="25" customWidth="1"/>
    <col min="2565" max="2565" width="70.7109375" style="25" customWidth="1"/>
    <col min="2566" max="2570" width="14.7109375" style="25" customWidth="1"/>
    <col min="2571" max="2572" width="8.7109375" style="25" customWidth="1"/>
    <col min="2573" max="2573" width="15.42578125" style="25" customWidth="1"/>
    <col min="2574" max="2574" width="16" style="25" bestFit="1" customWidth="1"/>
    <col min="2575" max="2575" width="11" style="25" bestFit="1" customWidth="1"/>
    <col min="2576" max="2576" width="9.140625" style="25"/>
    <col min="2577" max="2577" width="12.5703125" style="25" bestFit="1" customWidth="1"/>
    <col min="2578" max="2818" width="9.140625" style="25"/>
    <col min="2819" max="2819" width="5" style="25" customWidth="1"/>
    <col min="2820" max="2820" width="10.7109375" style="25" customWidth="1"/>
    <col min="2821" max="2821" width="70.7109375" style="25" customWidth="1"/>
    <col min="2822" max="2826" width="14.7109375" style="25" customWidth="1"/>
    <col min="2827" max="2828" width="8.7109375" style="25" customWidth="1"/>
    <col min="2829" max="2829" width="15.42578125" style="25" customWidth="1"/>
    <col min="2830" max="2830" width="16" style="25" bestFit="1" customWidth="1"/>
    <col min="2831" max="2831" width="11" style="25" bestFit="1" customWidth="1"/>
    <col min="2832" max="2832" width="9.140625" style="25"/>
    <col min="2833" max="2833" width="12.5703125" style="25" bestFit="1" customWidth="1"/>
    <col min="2834" max="3074" width="9.140625" style="25"/>
    <col min="3075" max="3075" width="5" style="25" customWidth="1"/>
    <col min="3076" max="3076" width="10.7109375" style="25" customWidth="1"/>
    <col min="3077" max="3077" width="70.7109375" style="25" customWidth="1"/>
    <col min="3078" max="3082" width="14.7109375" style="25" customWidth="1"/>
    <col min="3083" max="3084" width="8.7109375" style="25" customWidth="1"/>
    <col min="3085" max="3085" width="15.42578125" style="25" customWidth="1"/>
    <col min="3086" max="3086" width="16" style="25" bestFit="1" customWidth="1"/>
    <col min="3087" max="3087" width="11" style="25" bestFit="1" customWidth="1"/>
    <col min="3088" max="3088" width="9.140625" style="25"/>
    <col min="3089" max="3089" width="12.5703125" style="25" bestFit="1" customWidth="1"/>
    <col min="3090" max="3330" width="9.140625" style="25"/>
    <col min="3331" max="3331" width="5" style="25" customWidth="1"/>
    <col min="3332" max="3332" width="10.7109375" style="25" customWidth="1"/>
    <col min="3333" max="3333" width="70.7109375" style="25" customWidth="1"/>
    <col min="3334" max="3338" width="14.7109375" style="25" customWidth="1"/>
    <col min="3339" max="3340" width="8.7109375" style="25" customWidth="1"/>
    <col min="3341" max="3341" width="15.42578125" style="25" customWidth="1"/>
    <col min="3342" max="3342" width="16" style="25" bestFit="1" customWidth="1"/>
    <col min="3343" max="3343" width="11" style="25" bestFit="1" customWidth="1"/>
    <col min="3344" max="3344" width="9.140625" style="25"/>
    <col min="3345" max="3345" width="12.5703125" style="25" bestFit="1" customWidth="1"/>
    <col min="3346" max="3586" width="9.140625" style="25"/>
    <col min="3587" max="3587" width="5" style="25" customWidth="1"/>
    <col min="3588" max="3588" width="10.7109375" style="25" customWidth="1"/>
    <col min="3589" max="3589" width="70.7109375" style="25" customWidth="1"/>
    <col min="3590" max="3594" width="14.7109375" style="25" customWidth="1"/>
    <col min="3595" max="3596" width="8.7109375" style="25" customWidth="1"/>
    <col min="3597" max="3597" width="15.42578125" style="25" customWidth="1"/>
    <col min="3598" max="3598" width="16" style="25" bestFit="1" customWidth="1"/>
    <col min="3599" max="3599" width="11" style="25" bestFit="1" customWidth="1"/>
    <col min="3600" max="3600" width="9.140625" style="25"/>
    <col min="3601" max="3601" width="12.5703125" style="25" bestFit="1" customWidth="1"/>
    <col min="3602" max="3842" width="9.140625" style="25"/>
    <col min="3843" max="3843" width="5" style="25" customWidth="1"/>
    <col min="3844" max="3844" width="10.7109375" style="25" customWidth="1"/>
    <col min="3845" max="3845" width="70.7109375" style="25" customWidth="1"/>
    <col min="3846" max="3850" width="14.7109375" style="25" customWidth="1"/>
    <col min="3851" max="3852" width="8.7109375" style="25" customWidth="1"/>
    <col min="3853" max="3853" width="15.42578125" style="25" customWidth="1"/>
    <col min="3854" max="3854" width="16" style="25" bestFit="1" customWidth="1"/>
    <col min="3855" max="3855" width="11" style="25" bestFit="1" customWidth="1"/>
    <col min="3856" max="3856" width="9.140625" style="25"/>
    <col min="3857" max="3857" width="12.5703125" style="25" bestFit="1" customWidth="1"/>
    <col min="3858" max="4098" width="9.140625" style="25"/>
    <col min="4099" max="4099" width="5" style="25" customWidth="1"/>
    <col min="4100" max="4100" width="10.7109375" style="25" customWidth="1"/>
    <col min="4101" max="4101" width="70.7109375" style="25" customWidth="1"/>
    <col min="4102" max="4106" width="14.7109375" style="25" customWidth="1"/>
    <col min="4107" max="4108" width="8.7109375" style="25" customWidth="1"/>
    <col min="4109" max="4109" width="15.42578125" style="25" customWidth="1"/>
    <col min="4110" max="4110" width="16" style="25" bestFit="1" customWidth="1"/>
    <col min="4111" max="4111" width="11" style="25" bestFit="1" customWidth="1"/>
    <col min="4112" max="4112" width="9.140625" style="25"/>
    <col min="4113" max="4113" width="12.5703125" style="25" bestFit="1" customWidth="1"/>
    <col min="4114" max="4354" width="9.140625" style="25"/>
    <col min="4355" max="4355" width="5" style="25" customWidth="1"/>
    <col min="4356" max="4356" width="10.7109375" style="25" customWidth="1"/>
    <col min="4357" max="4357" width="70.7109375" style="25" customWidth="1"/>
    <col min="4358" max="4362" width="14.7109375" style="25" customWidth="1"/>
    <col min="4363" max="4364" width="8.7109375" style="25" customWidth="1"/>
    <col min="4365" max="4365" width="15.42578125" style="25" customWidth="1"/>
    <col min="4366" max="4366" width="16" style="25" bestFit="1" customWidth="1"/>
    <col min="4367" max="4367" width="11" style="25" bestFit="1" customWidth="1"/>
    <col min="4368" max="4368" width="9.140625" style="25"/>
    <col min="4369" max="4369" width="12.5703125" style="25" bestFit="1" customWidth="1"/>
    <col min="4370" max="4610" width="9.140625" style="25"/>
    <col min="4611" max="4611" width="5" style="25" customWidth="1"/>
    <col min="4612" max="4612" width="10.7109375" style="25" customWidth="1"/>
    <col min="4613" max="4613" width="70.7109375" style="25" customWidth="1"/>
    <col min="4614" max="4618" width="14.7109375" style="25" customWidth="1"/>
    <col min="4619" max="4620" width="8.7109375" style="25" customWidth="1"/>
    <col min="4621" max="4621" width="15.42578125" style="25" customWidth="1"/>
    <col min="4622" max="4622" width="16" style="25" bestFit="1" customWidth="1"/>
    <col min="4623" max="4623" width="11" style="25" bestFit="1" customWidth="1"/>
    <col min="4624" max="4624" width="9.140625" style="25"/>
    <col min="4625" max="4625" width="12.5703125" style="25" bestFit="1" customWidth="1"/>
    <col min="4626" max="4866" width="9.140625" style="25"/>
    <col min="4867" max="4867" width="5" style="25" customWidth="1"/>
    <col min="4868" max="4868" width="10.7109375" style="25" customWidth="1"/>
    <col min="4869" max="4869" width="70.7109375" style="25" customWidth="1"/>
    <col min="4870" max="4874" width="14.7109375" style="25" customWidth="1"/>
    <col min="4875" max="4876" width="8.7109375" style="25" customWidth="1"/>
    <col min="4877" max="4877" width="15.42578125" style="25" customWidth="1"/>
    <col min="4878" max="4878" width="16" style="25" bestFit="1" customWidth="1"/>
    <col min="4879" max="4879" width="11" style="25" bestFit="1" customWidth="1"/>
    <col min="4880" max="4880" width="9.140625" style="25"/>
    <col min="4881" max="4881" width="12.5703125" style="25" bestFit="1" customWidth="1"/>
    <col min="4882" max="5122" width="9.140625" style="25"/>
    <col min="5123" max="5123" width="5" style="25" customWidth="1"/>
    <col min="5124" max="5124" width="10.7109375" style="25" customWidth="1"/>
    <col min="5125" max="5125" width="70.7109375" style="25" customWidth="1"/>
    <col min="5126" max="5130" width="14.7109375" style="25" customWidth="1"/>
    <col min="5131" max="5132" width="8.7109375" style="25" customWidth="1"/>
    <col min="5133" max="5133" width="15.42578125" style="25" customWidth="1"/>
    <col min="5134" max="5134" width="16" style="25" bestFit="1" customWidth="1"/>
    <col min="5135" max="5135" width="11" style="25" bestFit="1" customWidth="1"/>
    <col min="5136" max="5136" width="9.140625" style="25"/>
    <col min="5137" max="5137" width="12.5703125" style="25" bestFit="1" customWidth="1"/>
    <col min="5138" max="5378" width="9.140625" style="25"/>
    <col min="5379" max="5379" width="5" style="25" customWidth="1"/>
    <col min="5380" max="5380" width="10.7109375" style="25" customWidth="1"/>
    <col min="5381" max="5381" width="70.7109375" style="25" customWidth="1"/>
    <col min="5382" max="5386" width="14.7109375" style="25" customWidth="1"/>
    <col min="5387" max="5388" width="8.7109375" style="25" customWidth="1"/>
    <col min="5389" max="5389" width="15.42578125" style="25" customWidth="1"/>
    <col min="5390" max="5390" width="16" style="25" bestFit="1" customWidth="1"/>
    <col min="5391" max="5391" width="11" style="25" bestFit="1" customWidth="1"/>
    <col min="5392" max="5392" width="9.140625" style="25"/>
    <col min="5393" max="5393" width="12.5703125" style="25" bestFit="1" customWidth="1"/>
    <col min="5394" max="5634" width="9.140625" style="25"/>
    <col min="5635" max="5635" width="5" style="25" customWidth="1"/>
    <col min="5636" max="5636" width="10.7109375" style="25" customWidth="1"/>
    <col min="5637" max="5637" width="70.7109375" style="25" customWidth="1"/>
    <col min="5638" max="5642" width="14.7109375" style="25" customWidth="1"/>
    <col min="5643" max="5644" width="8.7109375" style="25" customWidth="1"/>
    <col min="5645" max="5645" width="15.42578125" style="25" customWidth="1"/>
    <col min="5646" max="5646" width="16" style="25" bestFit="1" customWidth="1"/>
    <col min="5647" max="5647" width="11" style="25" bestFit="1" customWidth="1"/>
    <col min="5648" max="5648" width="9.140625" style="25"/>
    <col min="5649" max="5649" width="12.5703125" style="25" bestFit="1" customWidth="1"/>
    <col min="5650" max="5890" width="9.140625" style="25"/>
    <col min="5891" max="5891" width="5" style="25" customWidth="1"/>
    <col min="5892" max="5892" width="10.7109375" style="25" customWidth="1"/>
    <col min="5893" max="5893" width="70.7109375" style="25" customWidth="1"/>
    <col min="5894" max="5898" width="14.7109375" style="25" customWidth="1"/>
    <col min="5899" max="5900" width="8.7109375" style="25" customWidth="1"/>
    <col min="5901" max="5901" width="15.42578125" style="25" customWidth="1"/>
    <col min="5902" max="5902" width="16" style="25" bestFit="1" customWidth="1"/>
    <col min="5903" max="5903" width="11" style="25" bestFit="1" customWidth="1"/>
    <col min="5904" max="5904" width="9.140625" style="25"/>
    <col min="5905" max="5905" width="12.5703125" style="25" bestFit="1" customWidth="1"/>
    <col min="5906" max="6146" width="9.140625" style="25"/>
    <col min="6147" max="6147" width="5" style="25" customWidth="1"/>
    <col min="6148" max="6148" width="10.7109375" style="25" customWidth="1"/>
    <col min="6149" max="6149" width="70.7109375" style="25" customWidth="1"/>
    <col min="6150" max="6154" width="14.7109375" style="25" customWidth="1"/>
    <col min="6155" max="6156" width="8.7109375" style="25" customWidth="1"/>
    <col min="6157" max="6157" width="15.42578125" style="25" customWidth="1"/>
    <col min="6158" max="6158" width="16" style="25" bestFit="1" customWidth="1"/>
    <col min="6159" max="6159" width="11" style="25" bestFit="1" customWidth="1"/>
    <col min="6160" max="6160" width="9.140625" style="25"/>
    <col min="6161" max="6161" width="12.5703125" style="25" bestFit="1" customWidth="1"/>
    <col min="6162" max="6402" width="9.140625" style="25"/>
    <col min="6403" max="6403" width="5" style="25" customWidth="1"/>
    <col min="6404" max="6404" width="10.7109375" style="25" customWidth="1"/>
    <col min="6405" max="6405" width="70.7109375" style="25" customWidth="1"/>
    <col min="6406" max="6410" width="14.7109375" style="25" customWidth="1"/>
    <col min="6411" max="6412" width="8.7109375" style="25" customWidth="1"/>
    <col min="6413" max="6413" width="15.42578125" style="25" customWidth="1"/>
    <col min="6414" max="6414" width="16" style="25" bestFit="1" customWidth="1"/>
    <col min="6415" max="6415" width="11" style="25" bestFit="1" customWidth="1"/>
    <col min="6416" max="6416" width="9.140625" style="25"/>
    <col min="6417" max="6417" width="12.5703125" style="25" bestFit="1" customWidth="1"/>
    <col min="6418" max="6658" width="9.140625" style="25"/>
    <col min="6659" max="6659" width="5" style="25" customWidth="1"/>
    <col min="6660" max="6660" width="10.7109375" style="25" customWidth="1"/>
    <col min="6661" max="6661" width="70.7109375" style="25" customWidth="1"/>
    <col min="6662" max="6666" width="14.7109375" style="25" customWidth="1"/>
    <col min="6667" max="6668" width="8.7109375" style="25" customWidth="1"/>
    <col min="6669" max="6669" width="15.42578125" style="25" customWidth="1"/>
    <col min="6670" max="6670" width="16" style="25" bestFit="1" customWidth="1"/>
    <col min="6671" max="6671" width="11" style="25" bestFit="1" customWidth="1"/>
    <col min="6672" max="6672" width="9.140625" style="25"/>
    <col min="6673" max="6673" width="12.5703125" style="25" bestFit="1" customWidth="1"/>
    <col min="6674" max="6914" width="9.140625" style="25"/>
    <col min="6915" max="6915" width="5" style="25" customWidth="1"/>
    <col min="6916" max="6916" width="10.7109375" style="25" customWidth="1"/>
    <col min="6917" max="6917" width="70.7109375" style="25" customWidth="1"/>
    <col min="6918" max="6922" width="14.7109375" style="25" customWidth="1"/>
    <col min="6923" max="6924" width="8.7109375" style="25" customWidth="1"/>
    <col min="6925" max="6925" width="15.42578125" style="25" customWidth="1"/>
    <col min="6926" max="6926" width="16" style="25" bestFit="1" customWidth="1"/>
    <col min="6927" max="6927" width="11" style="25" bestFit="1" customWidth="1"/>
    <col min="6928" max="6928" width="9.140625" style="25"/>
    <col min="6929" max="6929" width="12.5703125" style="25" bestFit="1" customWidth="1"/>
    <col min="6930" max="7170" width="9.140625" style="25"/>
    <col min="7171" max="7171" width="5" style="25" customWidth="1"/>
    <col min="7172" max="7172" width="10.7109375" style="25" customWidth="1"/>
    <col min="7173" max="7173" width="70.7109375" style="25" customWidth="1"/>
    <col min="7174" max="7178" width="14.7109375" style="25" customWidth="1"/>
    <col min="7179" max="7180" width="8.7109375" style="25" customWidth="1"/>
    <col min="7181" max="7181" width="15.42578125" style="25" customWidth="1"/>
    <col min="7182" max="7182" width="16" style="25" bestFit="1" customWidth="1"/>
    <col min="7183" max="7183" width="11" style="25" bestFit="1" customWidth="1"/>
    <col min="7184" max="7184" width="9.140625" style="25"/>
    <col min="7185" max="7185" width="12.5703125" style="25" bestFit="1" customWidth="1"/>
    <col min="7186" max="7426" width="9.140625" style="25"/>
    <col min="7427" max="7427" width="5" style="25" customWidth="1"/>
    <col min="7428" max="7428" width="10.7109375" style="25" customWidth="1"/>
    <col min="7429" max="7429" width="70.7109375" style="25" customWidth="1"/>
    <col min="7430" max="7434" width="14.7109375" style="25" customWidth="1"/>
    <col min="7435" max="7436" width="8.7109375" style="25" customWidth="1"/>
    <col min="7437" max="7437" width="15.42578125" style="25" customWidth="1"/>
    <col min="7438" max="7438" width="16" style="25" bestFit="1" customWidth="1"/>
    <col min="7439" max="7439" width="11" style="25" bestFit="1" customWidth="1"/>
    <col min="7440" max="7440" width="9.140625" style="25"/>
    <col min="7441" max="7441" width="12.5703125" style="25" bestFit="1" customWidth="1"/>
    <col min="7442" max="7682" width="9.140625" style="25"/>
    <col min="7683" max="7683" width="5" style="25" customWidth="1"/>
    <col min="7684" max="7684" width="10.7109375" style="25" customWidth="1"/>
    <col min="7685" max="7685" width="70.7109375" style="25" customWidth="1"/>
    <col min="7686" max="7690" width="14.7109375" style="25" customWidth="1"/>
    <col min="7691" max="7692" width="8.7109375" style="25" customWidth="1"/>
    <col min="7693" max="7693" width="15.42578125" style="25" customWidth="1"/>
    <col min="7694" max="7694" width="16" style="25" bestFit="1" customWidth="1"/>
    <col min="7695" max="7695" width="11" style="25" bestFit="1" customWidth="1"/>
    <col min="7696" max="7696" width="9.140625" style="25"/>
    <col min="7697" max="7697" width="12.5703125" style="25" bestFit="1" customWidth="1"/>
    <col min="7698" max="7938" width="9.140625" style="25"/>
    <col min="7939" max="7939" width="5" style="25" customWidth="1"/>
    <col min="7940" max="7940" width="10.7109375" style="25" customWidth="1"/>
    <col min="7941" max="7941" width="70.7109375" style="25" customWidth="1"/>
    <col min="7942" max="7946" width="14.7109375" style="25" customWidth="1"/>
    <col min="7947" max="7948" width="8.7109375" style="25" customWidth="1"/>
    <col min="7949" max="7949" width="15.42578125" style="25" customWidth="1"/>
    <col min="7950" max="7950" width="16" style="25" bestFit="1" customWidth="1"/>
    <col min="7951" max="7951" width="11" style="25" bestFit="1" customWidth="1"/>
    <col min="7952" max="7952" width="9.140625" style="25"/>
    <col min="7953" max="7953" width="12.5703125" style="25" bestFit="1" customWidth="1"/>
    <col min="7954" max="8194" width="9.140625" style="25"/>
    <col min="8195" max="8195" width="5" style="25" customWidth="1"/>
    <col min="8196" max="8196" width="10.7109375" style="25" customWidth="1"/>
    <col min="8197" max="8197" width="70.7109375" style="25" customWidth="1"/>
    <col min="8198" max="8202" width="14.7109375" style="25" customWidth="1"/>
    <col min="8203" max="8204" width="8.7109375" style="25" customWidth="1"/>
    <col min="8205" max="8205" width="15.42578125" style="25" customWidth="1"/>
    <col min="8206" max="8206" width="16" style="25" bestFit="1" customWidth="1"/>
    <col min="8207" max="8207" width="11" style="25" bestFit="1" customWidth="1"/>
    <col min="8208" max="8208" width="9.140625" style="25"/>
    <col min="8209" max="8209" width="12.5703125" style="25" bestFit="1" customWidth="1"/>
    <col min="8210" max="8450" width="9.140625" style="25"/>
    <col min="8451" max="8451" width="5" style="25" customWidth="1"/>
    <col min="8452" max="8452" width="10.7109375" style="25" customWidth="1"/>
    <col min="8453" max="8453" width="70.7109375" style="25" customWidth="1"/>
    <col min="8454" max="8458" width="14.7109375" style="25" customWidth="1"/>
    <col min="8459" max="8460" width="8.7109375" style="25" customWidth="1"/>
    <col min="8461" max="8461" width="15.42578125" style="25" customWidth="1"/>
    <col min="8462" max="8462" width="16" style="25" bestFit="1" customWidth="1"/>
    <col min="8463" max="8463" width="11" style="25" bestFit="1" customWidth="1"/>
    <col min="8464" max="8464" width="9.140625" style="25"/>
    <col min="8465" max="8465" width="12.5703125" style="25" bestFit="1" customWidth="1"/>
    <col min="8466" max="8706" width="9.140625" style="25"/>
    <col min="8707" max="8707" width="5" style="25" customWidth="1"/>
    <col min="8708" max="8708" width="10.7109375" style="25" customWidth="1"/>
    <col min="8709" max="8709" width="70.7109375" style="25" customWidth="1"/>
    <col min="8710" max="8714" width="14.7109375" style="25" customWidth="1"/>
    <col min="8715" max="8716" width="8.7109375" style="25" customWidth="1"/>
    <col min="8717" max="8717" width="15.42578125" style="25" customWidth="1"/>
    <col min="8718" max="8718" width="16" style="25" bestFit="1" customWidth="1"/>
    <col min="8719" max="8719" width="11" style="25" bestFit="1" customWidth="1"/>
    <col min="8720" max="8720" width="9.140625" style="25"/>
    <col min="8721" max="8721" width="12.5703125" style="25" bestFit="1" customWidth="1"/>
    <col min="8722" max="8962" width="9.140625" style="25"/>
    <col min="8963" max="8963" width="5" style="25" customWidth="1"/>
    <col min="8964" max="8964" width="10.7109375" style="25" customWidth="1"/>
    <col min="8965" max="8965" width="70.7109375" style="25" customWidth="1"/>
    <col min="8966" max="8970" width="14.7109375" style="25" customWidth="1"/>
    <col min="8971" max="8972" width="8.7109375" style="25" customWidth="1"/>
    <col min="8973" max="8973" width="15.42578125" style="25" customWidth="1"/>
    <col min="8974" max="8974" width="16" style="25" bestFit="1" customWidth="1"/>
    <col min="8975" max="8975" width="11" style="25" bestFit="1" customWidth="1"/>
    <col min="8976" max="8976" width="9.140625" style="25"/>
    <col min="8977" max="8977" width="12.5703125" style="25" bestFit="1" customWidth="1"/>
    <col min="8978" max="9218" width="9.140625" style="25"/>
    <col min="9219" max="9219" width="5" style="25" customWidth="1"/>
    <col min="9220" max="9220" width="10.7109375" style="25" customWidth="1"/>
    <col min="9221" max="9221" width="70.7109375" style="25" customWidth="1"/>
    <col min="9222" max="9226" width="14.7109375" style="25" customWidth="1"/>
    <col min="9227" max="9228" width="8.7109375" style="25" customWidth="1"/>
    <col min="9229" max="9229" width="15.42578125" style="25" customWidth="1"/>
    <col min="9230" max="9230" width="16" style="25" bestFit="1" customWidth="1"/>
    <col min="9231" max="9231" width="11" style="25" bestFit="1" customWidth="1"/>
    <col min="9232" max="9232" width="9.140625" style="25"/>
    <col min="9233" max="9233" width="12.5703125" style="25" bestFit="1" customWidth="1"/>
    <col min="9234" max="9474" width="9.140625" style="25"/>
    <col min="9475" max="9475" width="5" style="25" customWidth="1"/>
    <col min="9476" max="9476" width="10.7109375" style="25" customWidth="1"/>
    <col min="9477" max="9477" width="70.7109375" style="25" customWidth="1"/>
    <col min="9478" max="9482" width="14.7109375" style="25" customWidth="1"/>
    <col min="9483" max="9484" width="8.7109375" style="25" customWidth="1"/>
    <col min="9485" max="9485" width="15.42578125" style="25" customWidth="1"/>
    <col min="9486" max="9486" width="16" style="25" bestFit="1" customWidth="1"/>
    <col min="9487" max="9487" width="11" style="25" bestFit="1" customWidth="1"/>
    <col min="9488" max="9488" width="9.140625" style="25"/>
    <col min="9489" max="9489" width="12.5703125" style="25" bestFit="1" customWidth="1"/>
    <col min="9490" max="9730" width="9.140625" style="25"/>
    <col min="9731" max="9731" width="5" style="25" customWidth="1"/>
    <col min="9732" max="9732" width="10.7109375" style="25" customWidth="1"/>
    <col min="9733" max="9733" width="70.7109375" style="25" customWidth="1"/>
    <col min="9734" max="9738" width="14.7109375" style="25" customWidth="1"/>
    <col min="9739" max="9740" width="8.7109375" style="25" customWidth="1"/>
    <col min="9741" max="9741" width="15.42578125" style="25" customWidth="1"/>
    <col min="9742" max="9742" width="16" style="25" bestFit="1" customWidth="1"/>
    <col min="9743" max="9743" width="11" style="25" bestFit="1" customWidth="1"/>
    <col min="9744" max="9744" width="9.140625" style="25"/>
    <col min="9745" max="9745" width="12.5703125" style="25" bestFit="1" customWidth="1"/>
    <col min="9746" max="9986" width="9.140625" style="25"/>
    <col min="9987" max="9987" width="5" style="25" customWidth="1"/>
    <col min="9988" max="9988" width="10.7109375" style="25" customWidth="1"/>
    <col min="9989" max="9989" width="70.7109375" style="25" customWidth="1"/>
    <col min="9990" max="9994" width="14.7109375" style="25" customWidth="1"/>
    <col min="9995" max="9996" width="8.7109375" style="25" customWidth="1"/>
    <col min="9997" max="9997" width="15.42578125" style="25" customWidth="1"/>
    <col min="9998" max="9998" width="16" style="25" bestFit="1" customWidth="1"/>
    <col min="9999" max="9999" width="11" style="25" bestFit="1" customWidth="1"/>
    <col min="10000" max="10000" width="9.140625" style="25"/>
    <col min="10001" max="10001" width="12.5703125" style="25" bestFit="1" customWidth="1"/>
    <col min="10002" max="10242" width="9.140625" style="25"/>
    <col min="10243" max="10243" width="5" style="25" customWidth="1"/>
    <col min="10244" max="10244" width="10.7109375" style="25" customWidth="1"/>
    <col min="10245" max="10245" width="70.7109375" style="25" customWidth="1"/>
    <col min="10246" max="10250" width="14.7109375" style="25" customWidth="1"/>
    <col min="10251" max="10252" width="8.7109375" style="25" customWidth="1"/>
    <col min="10253" max="10253" width="15.42578125" style="25" customWidth="1"/>
    <col min="10254" max="10254" width="16" style="25" bestFit="1" customWidth="1"/>
    <col min="10255" max="10255" width="11" style="25" bestFit="1" customWidth="1"/>
    <col min="10256" max="10256" width="9.140625" style="25"/>
    <col min="10257" max="10257" width="12.5703125" style="25" bestFit="1" customWidth="1"/>
    <col min="10258" max="10498" width="9.140625" style="25"/>
    <col min="10499" max="10499" width="5" style="25" customWidth="1"/>
    <col min="10500" max="10500" width="10.7109375" style="25" customWidth="1"/>
    <col min="10501" max="10501" width="70.7109375" style="25" customWidth="1"/>
    <col min="10502" max="10506" width="14.7109375" style="25" customWidth="1"/>
    <col min="10507" max="10508" width="8.7109375" style="25" customWidth="1"/>
    <col min="10509" max="10509" width="15.42578125" style="25" customWidth="1"/>
    <col min="10510" max="10510" width="16" style="25" bestFit="1" customWidth="1"/>
    <col min="10511" max="10511" width="11" style="25" bestFit="1" customWidth="1"/>
    <col min="10512" max="10512" width="9.140625" style="25"/>
    <col min="10513" max="10513" width="12.5703125" style="25" bestFit="1" customWidth="1"/>
    <col min="10514" max="10754" width="9.140625" style="25"/>
    <col min="10755" max="10755" width="5" style="25" customWidth="1"/>
    <col min="10756" max="10756" width="10.7109375" style="25" customWidth="1"/>
    <col min="10757" max="10757" width="70.7109375" style="25" customWidth="1"/>
    <col min="10758" max="10762" width="14.7109375" style="25" customWidth="1"/>
    <col min="10763" max="10764" width="8.7109375" style="25" customWidth="1"/>
    <col min="10765" max="10765" width="15.42578125" style="25" customWidth="1"/>
    <col min="10766" max="10766" width="16" style="25" bestFit="1" customWidth="1"/>
    <col min="10767" max="10767" width="11" style="25" bestFit="1" customWidth="1"/>
    <col min="10768" max="10768" width="9.140625" style="25"/>
    <col min="10769" max="10769" width="12.5703125" style="25" bestFit="1" customWidth="1"/>
    <col min="10770" max="11010" width="9.140625" style="25"/>
    <col min="11011" max="11011" width="5" style="25" customWidth="1"/>
    <col min="11012" max="11012" width="10.7109375" style="25" customWidth="1"/>
    <col min="11013" max="11013" width="70.7109375" style="25" customWidth="1"/>
    <col min="11014" max="11018" width="14.7109375" style="25" customWidth="1"/>
    <col min="11019" max="11020" width="8.7109375" style="25" customWidth="1"/>
    <col min="11021" max="11021" width="15.42578125" style="25" customWidth="1"/>
    <col min="11022" max="11022" width="16" style="25" bestFit="1" customWidth="1"/>
    <col min="11023" max="11023" width="11" style="25" bestFit="1" customWidth="1"/>
    <col min="11024" max="11024" width="9.140625" style="25"/>
    <col min="11025" max="11025" width="12.5703125" style="25" bestFit="1" customWidth="1"/>
    <col min="11026" max="11266" width="9.140625" style="25"/>
    <col min="11267" max="11267" width="5" style="25" customWidth="1"/>
    <col min="11268" max="11268" width="10.7109375" style="25" customWidth="1"/>
    <col min="11269" max="11269" width="70.7109375" style="25" customWidth="1"/>
    <col min="11270" max="11274" width="14.7109375" style="25" customWidth="1"/>
    <col min="11275" max="11276" width="8.7109375" style="25" customWidth="1"/>
    <col min="11277" max="11277" width="15.42578125" style="25" customWidth="1"/>
    <col min="11278" max="11278" width="16" style="25" bestFit="1" customWidth="1"/>
    <col min="11279" max="11279" width="11" style="25" bestFit="1" customWidth="1"/>
    <col min="11280" max="11280" width="9.140625" style="25"/>
    <col min="11281" max="11281" width="12.5703125" style="25" bestFit="1" customWidth="1"/>
    <col min="11282" max="11522" width="9.140625" style="25"/>
    <col min="11523" max="11523" width="5" style="25" customWidth="1"/>
    <col min="11524" max="11524" width="10.7109375" style="25" customWidth="1"/>
    <col min="11525" max="11525" width="70.7109375" style="25" customWidth="1"/>
    <col min="11526" max="11530" width="14.7109375" style="25" customWidth="1"/>
    <col min="11531" max="11532" width="8.7109375" style="25" customWidth="1"/>
    <col min="11533" max="11533" width="15.42578125" style="25" customWidth="1"/>
    <col min="11534" max="11534" width="16" style="25" bestFit="1" customWidth="1"/>
    <col min="11535" max="11535" width="11" style="25" bestFit="1" customWidth="1"/>
    <col min="11536" max="11536" width="9.140625" style="25"/>
    <col min="11537" max="11537" width="12.5703125" style="25" bestFit="1" customWidth="1"/>
    <col min="11538" max="11778" width="9.140625" style="25"/>
    <col min="11779" max="11779" width="5" style="25" customWidth="1"/>
    <col min="11780" max="11780" width="10.7109375" style="25" customWidth="1"/>
    <col min="11781" max="11781" width="70.7109375" style="25" customWidth="1"/>
    <col min="11782" max="11786" width="14.7109375" style="25" customWidth="1"/>
    <col min="11787" max="11788" width="8.7109375" style="25" customWidth="1"/>
    <col min="11789" max="11789" width="15.42578125" style="25" customWidth="1"/>
    <col min="11790" max="11790" width="16" style="25" bestFit="1" customWidth="1"/>
    <col min="11791" max="11791" width="11" style="25" bestFit="1" customWidth="1"/>
    <col min="11792" max="11792" width="9.140625" style="25"/>
    <col min="11793" max="11793" width="12.5703125" style="25" bestFit="1" customWidth="1"/>
    <col min="11794" max="12034" width="9.140625" style="25"/>
    <col min="12035" max="12035" width="5" style="25" customWidth="1"/>
    <col min="12036" max="12036" width="10.7109375" style="25" customWidth="1"/>
    <col min="12037" max="12037" width="70.7109375" style="25" customWidth="1"/>
    <col min="12038" max="12042" width="14.7109375" style="25" customWidth="1"/>
    <col min="12043" max="12044" width="8.7109375" style="25" customWidth="1"/>
    <col min="12045" max="12045" width="15.42578125" style="25" customWidth="1"/>
    <col min="12046" max="12046" width="16" style="25" bestFit="1" customWidth="1"/>
    <col min="12047" max="12047" width="11" style="25" bestFit="1" customWidth="1"/>
    <col min="12048" max="12048" width="9.140625" style="25"/>
    <col min="12049" max="12049" width="12.5703125" style="25" bestFit="1" customWidth="1"/>
    <col min="12050" max="12290" width="9.140625" style="25"/>
    <col min="12291" max="12291" width="5" style="25" customWidth="1"/>
    <col min="12292" max="12292" width="10.7109375" style="25" customWidth="1"/>
    <col min="12293" max="12293" width="70.7109375" style="25" customWidth="1"/>
    <col min="12294" max="12298" width="14.7109375" style="25" customWidth="1"/>
    <col min="12299" max="12300" width="8.7109375" style="25" customWidth="1"/>
    <col min="12301" max="12301" width="15.42578125" style="25" customWidth="1"/>
    <col min="12302" max="12302" width="16" style="25" bestFit="1" customWidth="1"/>
    <col min="12303" max="12303" width="11" style="25" bestFit="1" customWidth="1"/>
    <col min="12304" max="12304" width="9.140625" style="25"/>
    <col min="12305" max="12305" width="12.5703125" style="25" bestFit="1" customWidth="1"/>
    <col min="12306" max="12546" width="9.140625" style="25"/>
    <col min="12547" max="12547" width="5" style="25" customWidth="1"/>
    <col min="12548" max="12548" width="10.7109375" style="25" customWidth="1"/>
    <col min="12549" max="12549" width="70.7109375" style="25" customWidth="1"/>
    <col min="12550" max="12554" width="14.7109375" style="25" customWidth="1"/>
    <col min="12555" max="12556" width="8.7109375" style="25" customWidth="1"/>
    <col min="12557" max="12557" width="15.42578125" style="25" customWidth="1"/>
    <col min="12558" max="12558" width="16" style="25" bestFit="1" customWidth="1"/>
    <col min="12559" max="12559" width="11" style="25" bestFit="1" customWidth="1"/>
    <col min="12560" max="12560" width="9.140625" style="25"/>
    <col min="12561" max="12561" width="12.5703125" style="25" bestFit="1" customWidth="1"/>
    <col min="12562" max="12802" width="9.140625" style="25"/>
    <col min="12803" max="12803" width="5" style="25" customWidth="1"/>
    <col min="12804" max="12804" width="10.7109375" style="25" customWidth="1"/>
    <col min="12805" max="12805" width="70.7109375" style="25" customWidth="1"/>
    <col min="12806" max="12810" width="14.7109375" style="25" customWidth="1"/>
    <col min="12811" max="12812" width="8.7109375" style="25" customWidth="1"/>
    <col min="12813" max="12813" width="15.42578125" style="25" customWidth="1"/>
    <col min="12814" max="12814" width="16" style="25" bestFit="1" customWidth="1"/>
    <col min="12815" max="12815" width="11" style="25" bestFit="1" customWidth="1"/>
    <col min="12816" max="12816" width="9.140625" style="25"/>
    <col min="12817" max="12817" width="12.5703125" style="25" bestFit="1" customWidth="1"/>
    <col min="12818" max="13058" width="9.140625" style="25"/>
    <col min="13059" max="13059" width="5" style="25" customWidth="1"/>
    <col min="13060" max="13060" width="10.7109375" style="25" customWidth="1"/>
    <col min="13061" max="13061" width="70.7109375" style="25" customWidth="1"/>
    <col min="13062" max="13066" width="14.7109375" style="25" customWidth="1"/>
    <col min="13067" max="13068" width="8.7109375" style="25" customWidth="1"/>
    <col min="13069" max="13069" width="15.42578125" style="25" customWidth="1"/>
    <col min="13070" max="13070" width="16" style="25" bestFit="1" customWidth="1"/>
    <col min="13071" max="13071" width="11" style="25" bestFit="1" customWidth="1"/>
    <col min="13072" max="13072" width="9.140625" style="25"/>
    <col min="13073" max="13073" width="12.5703125" style="25" bestFit="1" customWidth="1"/>
    <col min="13074" max="13314" width="9.140625" style="25"/>
    <col min="13315" max="13315" width="5" style="25" customWidth="1"/>
    <col min="13316" max="13316" width="10.7109375" style="25" customWidth="1"/>
    <col min="13317" max="13317" width="70.7109375" style="25" customWidth="1"/>
    <col min="13318" max="13322" width="14.7109375" style="25" customWidth="1"/>
    <col min="13323" max="13324" width="8.7109375" style="25" customWidth="1"/>
    <col min="13325" max="13325" width="15.42578125" style="25" customWidth="1"/>
    <col min="13326" max="13326" width="16" style="25" bestFit="1" customWidth="1"/>
    <col min="13327" max="13327" width="11" style="25" bestFit="1" customWidth="1"/>
    <col min="13328" max="13328" width="9.140625" style="25"/>
    <col min="13329" max="13329" width="12.5703125" style="25" bestFit="1" customWidth="1"/>
    <col min="13330" max="13570" width="9.140625" style="25"/>
    <col min="13571" max="13571" width="5" style="25" customWidth="1"/>
    <col min="13572" max="13572" width="10.7109375" style="25" customWidth="1"/>
    <col min="13573" max="13573" width="70.7109375" style="25" customWidth="1"/>
    <col min="13574" max="13578" width="14.7109375" style="25" customWidth="1"/>
    <col min="13579" max="13580" width="8.7109375" style="25" customWidth="1"/>
    <col min="13581" max="13581" width="15.42578125" style="25" customWidth="1"/>
    <col min="13582" max="13582" width="16" style="25" bestFit="1" customWidth="1"/>
    <col min="13583" max="13583" width="11" style="25" bestFit="1" customWidth="1"/>
    <col min="13584" max="13584" width="9.140625" style="25"/>
    <col min="13585" max="13585" width="12.5703125" style="25" bestFit="1" customWidth="1"/>
    <col min="13586" max="13826" width="9.140625" style="25"/>
    <col min="13827" max="13827" width="5" style="25" customWidth="1"/>
    <col min="13828" max="13828" width="10.7109375" style="25" customWidth="1"/>
    <col min="13829" max="13829" width="70.7109375" style="25" customWidth="1"/>
    <col min="13830" max="13834" width="14.7109375" style="25" customWidth="1"/>
    <col min="13835" max="13836" width="8.7109375" style="25" customWidth="1"/>
    <col min="13837" max="13837" width="15.42578125" style="25" customWidth="1"/>
    <col min="13838" max="13838" width="16" style="25" bestFit="1" customWidth="1"/>
    <col min="13839" max="13839" width="11" style="25" bestFit="1" customWidth="1"/>
    <col min="13840" max="13840" width="9.140625" style="25"/>
    <col min="13841" max="13841" width="12.5703125" style="25" bestFit="1" customWidth="1"/>
    <col min="13842" max="14082" width="9.140625" style="25"/>
    <col min="14083" max="14083" width="5" style="25" customWidth="1"/>
    <col min="14084" max="14084" width="10.7109375" style="25" customWidth="1"/>
    <col min="14085" max="14085" width="70.7109375" style="25" customWidth="1"/>
    <col min="14086" max="14090" width="14.7109375" style="25" customWidth="1"/>
    <col min="14091" max="14092" width="8.7109375" style="25" customWidth="1"/>
    <col min="14093" max="14093" width="15.42578125" style="25" customWidth="1"/>
    <col min="14094" max="14094" width="16" style="25" bestFit="1" customWidth="1"/>
    <col min="14095" max="14095" width="11" style="25" bestFit="1" customWidth="1"/>
    <col min="14096" max="14096" width="9.140625" style="25"/>
    <col min="14097" max="14097" width="12.5703125" style="25" bestFit="1" customWidth="1"/>
    <col min="14098" max="14338" width="9.140625" style="25"/>
    <col min="14339" max="14339" width="5" style="25" customWidth="1"/>
    <col min="14340" max="14340" width="10.7109375" style="25" customWidth="1"/>
    <col min="14341" max="14341" width="70.7109375" style="25" customWidth="1"/>
    <col min="14342" max="14346" width="14.7109375" style="25" customWidth="1"/>
    <col min="14347" max="14348" width="8.7109375" style="25" customWidth="1"/>
    <col min="14349" max="14349" width="15.42578125" style="25" customWidth="1"/>
    <col min="14350" max="14350" width="16" style="25" bestFit="1" customWidth="1"/>
    <col min="14351" max="14351" width="11" style="25" bestFit="1" customWidth="1"/>
    <col min="14352" max="14352" width="9.140625" style="25"/>
    <col min="14353" max="14353" width="12.5703125" style="25" bestFit="1" customWidth="1"/>
    <col min="14354" max="14594" width="9.140625" style="25"/>
    <col min="14595" max="14595" width="5" style="25" customWidth="1"/>
    <col min="14596" max="14596" width="10.7109375" style="25" customWidth="1"/>
    <col min="14597" max="14597" width="70.7109375" style="25" customWidth="1"/>
    <col min="14598" max="14602" width="14.7109375" style="25" customWidth="1"/>
    <col min="14603" max="14604" width="8.7109375" style="25" customWidth="1"/>
    <col min="14605" max="14605" width="15.42578125" style="25" customWidth="1"/>
    <col min="14606" max="14606" width="16" style="25" bestFit="1" customWidth="1"/>
    <col min="14607" max="14607" width="11" style="25" bestFit="1" customWidth="1"/>
    <col min="14608" max="14608" width="9.140625" style="25"/>
    <col min="14609" max="14609" width="12.5703125" style="25" bestFit="1" customWidth="1"/>
    <col min="14610" max="14850" width="9.140625" style="25"/>
    <col min="14851" max="14851" width="5" style="25" customWidth="1"/>
    <col min="14852" max="14852" width="10.7109375" style="25" customWidth="1"/>
    <col min="14853" max="14853" width="70.7109375" style="25" customWidth="1"/>
    <col min="14854" max="14858" width="14.7109375" style="25" customWidth="1"/>
    <col min="14859" max="14860" width="8.7109375" style="25" customWidth="1"/>
    <col min="14861" max="14861" width="15.42578125" style="25" customWidth="1"/>
    <col min="14862" max="14862" width="16" style="25" bestFit="1" customWidth="1"/>
    <col min="14863" max="14863" width="11" style="25" bestFit="1" customWidth="1"/>
    <col min="14864" max="14864" width="9.140625" style="25"/>
    <col min="14865" max="14865" width="12.5703125" style="25" bestFit="1" customWidth="1"/>
    <col min="14866" max="15106" width="9.140625" style="25"/>
    <col min="15107" max="15107" width="5" style="25" customWidth="1"/>
    <col min="15108" max="15108" width="10.7109375" style="25" customWidth="1"/>
    <col min="15109" max="15109" width="70.7109375" style="25" customWidth="1"/>
    <col min="15110" max="15114" width="14.7109375" style="25" customWidth="1"/>
    <col min="15115" max="15116" width="8.7109375" style="25" customWidth="1"/>
    <col min="15117" max="15117" width="15.42578125" style="25" customWidth="1"/>
    <col min="15118" max="15118" width="16" style="25" bestFit="1" customWidth="1"/>
    <col min="15119" max="15119" width="11" style="25" bestFit="1" customWidth="1"/>
    <col min="15120" max="15120" width="9.140625" style="25"/>
    <col min="15121" max="15121" width="12.5703125" style="25" bestFit="1" customWidth="1"/>
    <col min="15122" max="15362" width="9.140625" style="25"/>
    <col min="15363" max="15363" width="5" style="25" customWidth="1"/>
    <col min="15364" max="15364" width="10.7109375" style="25" customWidth="1"/>
    <col min="15365" max="15365" width="70.7109375" style="25" customWidth="1"/>
    <col min="15366" max="15370" width="14.7109375" style="25" customWidth="1"/>
    <col min="15371" max="15372" width="8.7109375" style="25" customWidth="1"/>
    <col min="15373" max="15373" width="15.42578125" style="25" customWidth="1"/>
    <col min="15374" max="15374" width="16" style="25" bestFit="1" customWidth="1"/>
    <col min="15375" max="15375" width="11" style="25" bestFit="1" customWidth="1"/>
    <col min="15376" max="15376" width="9.140625" style="25"/>
    <col min="15377" max="15377" width="12.5703125" style="25" bestFit="1" customWidth="1"/>
    <col min="15378" max="15618" width="9.140625" style="25"/>
    <col min="15619" max="15619" width="5" style="25" customWidth="1"/>
    <col min="15620" max="15620" width="10.7109375" style="25" customWidth="1"/>
    <col min="15621" max="15621" width="70.7109375" style="25" customWidth="1"/>
    <col min="15622" max="15626" width="14.7109375" style="25" customWidth="1"/>
    <col min="15627" max="15628" width="8.7109375" style="25" customWidth="1"/>
    <col min="15629" max="15629" width="15.42578125" style="25" customWidth="1"/>
    <col min="15630" max="15630" width="16" style="25" bestFit="1" customWidth="1"/>
    <col min="15631" max="15631" width="11" style="25" bestFit="1" customWidth="1"/>
    <col min="15632" max="15632" width="9.140625" style="25"/>
    <col min="15633" max="15633" width="12.5703125" style="25" bestFit="1" customWidth="1"/>
    <col min="15634" max="15874" width="9.140625" style="25"/>
    <col min="15875" max="15875" width="5" style="25" customWidth="1"/>
    <col min="15876" max="15876" width="10.7109375" style="25" customWidth="1"/>
    <col min="15877" max="15877" width="70.7109375" style="25" customWidth="1"/>
    <col min="15878" max="15882" width="14.7109375" style="25" customWidth="1"/>
    <col min="15883" max="15884" width="8.7109375" style="25" customWidth="1"/>
    <col min="15885" max="15885" width="15.42578125" style="25" customWidth="1"/>
    <col min="15886" max="15886" width="16" style="25" bestFit="1" customWidth="1"/>
    <col min="15887" max="15887" width="11" style="25" bestFit="1" customWidth="1"/>
    <col min="15888" max="15888" width="9.140625" style="25"/>
    <col min="15889" max="15889" width="12.5703125" style="25" bestFit="1" customWidth="1"/>
    <col min="15890" max="16130" width="9.140625" style="25"/>
    <col min="16131" max="16131" width="5" style="25" customWidth="1"/>
    <col min="16132" max="16132" width="10.7109375" style="25" customWidth="1"/>
    <col min="16133" max="16133" width="70.7109375" style="25" customWidth="1"/>
    <col min="16134" max="16138" width="14.7109375" style="25" customWidth="1"/>
    <col min="16139" max="16140" width="8.7109375" style="25" customWidth="1"/>
    <col min="16141" max="16141" width="15.42578125" style="25" customWidth="1"/>
    <col min="16142" max="16142" width="16" style="25" bestFit="1" customWidth="1"/>
    <col min="16143" max="16143" width="11" style="25" bestFit="1" customWidth="1"/>
    <col min="16144" max="16144" width="9.140625" style="25"/>
    <col min="16145" max="16145" width="12.5703125" style="25" bestFit="1" customWidth="1"/>
    <col min="16146" max="16384" width="9.140625" style="25"/>
  </cols>
  <sheetData>
    <row r="1" spans="1:23" x14ac:dyDescent="0.25">
      <c r="L1" s="479" t="s">
        <v>733</v>
      </c>
      <c r="M1" s="479"/>
      <c r="N1" s="479"/>
      <c r="O1" s="479"/>
      <c r="P1" s="479"/>
      <c r="Q1" s="480" t="s">
        <v>734</v>
      </c>
      <c r="R1" s="480"/>
      <c r="S1" s="480"/>
      <c r="T1" s="480"/>
      <c r="U1" s="480"/>
    </row>
    <row r="2" spans="1:23" ht="68.25" customHeight="1" x14ac:dyDescent="0.25">
      <c r="A2" s="1" t="s">
        <v>113</v>
      </c>
      <c r="B2" s="175"/>
      <c r="C2" s="176"/>
      <c r="D2" s="63" t="s">
        <v>940</v>
      </c>
      <c r="E2" s="178" t="s">
        <v>980</v>
      </c>
      <c r="F2" s="178" t="s">
        <v>1111</v>
      </c>
      <c r="G2" s="90" t="s">
        <v>977</v>
      </c>
      <c r="H2" s="90" t="s">
        <v>979</v>
      </c>
      <c r="I2" s="90" t="s">
        <v>1111</v>
      </c>
      <c r="J2" s="4" t="s">
        <v>497</v>
      </c>
      <c r="K2" s="97" t="s">
        <v>719</v>
      </c>
      <c r="L2" s="100" t="s">
        <v>857</v>
      </c>
      <c r="M2" s="100" t="s">
        <v>858</v>
      </c>
      <c r="N2" s="75" t="s">
        <v>859</v>
      </c>
      <c r="O2" s="75" t="s">
        <v>860</v>
      </c>
      <c r="P2" s="101" t="s">
        <v>861</v>
      </c>
      <c r="Q2" s="100" t="s">
        <v>857</v>
      </c>
      <c r="R2" s="100" t="s">
        <v>858</v>
      </c>
      <c r="S2" s="75" t="s">
        <v>859</v>
      </c>
      <c r="T2" s="75" t="s">
        <v>860</v>
      </c>
      <c r="U2" s="101" t="s">
        <v>861</v>
      </c>
      <c r="V2" s="33"/>
      <c r="W2" s="33"/>
    </row>
    <row r="3" spans="1:23" s="130" customFormat="1" ht="18" customHeight="1" x14ac:dyDescent="0.25">
      <c r="A3" s="121"/>
      <c r="B3" s="122"/>
      <c r="C3" s="121"/>
      <c r="D3" s="123"/>
      <c r="E3" s="179"/>
      <c r="F3" s="179"/>
      <c r="G3" s="123"/>
      <c r="H3" s="123"/>
      <c r="I3" s="123"/>
      <c r="J3" s="8">
        <f t="shared" ref="J3:J26" si="0">IFERROR(SUM(H3/E3),0)*100</f>
        <v>0</v>
      </c>
      <c r="K3" s="98">
        <f t="shared" ref="K3:K14" si="1">IFERROR(SUM(H3/G3),0)*100</f>
        <v>0</v>
      </c>
      <c r="L3" s="124"/>
      <c r="M3" s="125"/>
      <c r="N3" s="126"/>
      <c r="O3" s="126"/>
      <c r="P3" s="127"/>
      <c r="Q3" s="128"/>
      <c r="R3" s="128"/>
      <c r="S3" s="128"/>
      <c r="T3" s="129"/>
      <c r="U3" s="129"/>
    </row>
    <row r="4" spans="1:23" s="130" customFormat="1" ht="18" customHeight="1" x14ac:dyDescent="0.25">
      <c r="A4" s="236"/>
      <c r="B4" s="237"/>
      <c r="C4" s="236" t="s">
        <v>929</v>
      </c>
      <c r="D4" s="238">
        <f t="shared" ref="D4:I4" si="2">SUM(D5:D7)</f>
        <v>0</v>
      </c>
      <c r="E4" s="234">
        <f t="shared" ref="E4:F4" si="3">SUM(E5:E7)</f>
        <v>1117136.22</v>
      </c>
      <c r="F4" s="234">
        <f t="shared" si="3"/>
        <v>2738871.53</v>
      </c>
      <c r="G4" s="238">
        <f t="shared" si="2"/>
        <v>4286500</v>
      </c>
      <c r="H4" s="238">
        <f t="shared" si="2"/>
        <v>3250400</v>
      </c>
      <c r="I4" s="238">
        <f t="shared" si="2"/>
        <v>2738871.53</v>
      </c>
      <c r="J4" s="8">
        <f t="shared" si="0"/>
        <v>290.9582503734415</v>
      </c>
      <c r="K4" s="98">
        <f t="shared" si="1"/>
        <v>75.828764726466815</v>
      </c>
      <c r="L4" s="124"/>
      <c r="M4" s="125"/>
      <c r="N4" s="126"/>
      <c r="O4" s="126"/>
      <c r="P4" s="127"/>
      <c r="Q4" s="128"/>
      <c r="R4" s="128"/>
      <c r="S4" s="128"/>
      <c r="T4" s="129"/>
      <c r="U4" s="129"/>
    </row>
    <row r="5" spans="1:23" s="130" customFormat="1" ht="18" customHeight="1" x14ac:dyDescent="0.25">
      <c r="A5" s="239"/>
      <c r="B5" s="240"/>
      <c r="C5" s="239" t="s">
        <v>930</v>
      </c>
      <c r="D5" s="241">
        <f>SUM(D9+D13)</f>
        <v>0</v>
      </c>
      <c r="E5" s="235">
        <f t="shared" ref="E5:F5" si="4">SUM(E9+E13)</f>
        <v>954197.56</v>
      </c>
      <c r="F5" s="235">
        <f t="shared" si="4"/>
        <v>2409715.9699999997</v>
      </c>
      <c r="G5" s="241">
        <f>SUM(G9+G13)</f>
        <v>3925000</v>
      </c>
      <c r="H5" s="241">
        <f>SUM(H9+H13)</f>
        <v>2862700</v>
      </c>
      <c r="I5" s="241">
        <f>SUM(I9+I13)</f>
        <v>2409715.9699999997</v>
      </c>
      <c r="J5" s="8">
        <f t="shared" si="0"/>
        <v>300.01124714676484</v>
      </c>
      <c r="K5" s="98">
        <f t="shared" si="1"/>
        <v>72.935031847133757</v>
      </c>
      <c r="L5" s="124"/>
      <c r="M5" s="125"/>
      <c r="N5" s="126"/>
      <c r="O5" s="126"/>
      <c r="P5" s="127"/>
      <c r="Q5" s="128"/>
      <c r="R5" s="128"/>
      <c r="S5" s="128"/>
      <c r="T5" s="129"/>
      <c r="U5" s="129"/>
    </row>
    <row r="6" spans="1:23" s="130" customFormat="1" ht="18" customHeight="1" x14ac:dyDescent="0.25">
      <c r="A6" s="239"/>
      <c r="B6" s="240"/>
      <c r="C6" s="239" t="s">
        <v>931</v>
      </c>
      <c r="D6" s="241">
        <f>SUM(D11+D14)</f>
        <v>0</v>
      </c>
      <c r="E6" s="235">
        <f t="shared" ref="E6:F6" si="5">SUM(E11+E14)</f>
        <v>142912.26999999999</v>
      </c>
      <c r="F6" s="235">
        <f t="shared" si="5"/>
        <v>291985.69</v>
      </c>
      <c r="G6" s="241">
        <f>SUM(G11+G14)</f>
        <v>320000</v>
      </c>
      <c r="H6" s="241">
        <f>SUM(H11+H14)</f>
        <v>342500</v>
      </c>
      <c r="I6" s="241">
        <f>SUM(I11+I14)</f>
        <v>291985.69</v>
      </c>
      <c r="J6" s="8">
        <f t="shared" si="0"/>
        <v>239.65751856016283</v>
      </c>
      <c r="K6" s="98">
        <f t="shared" si="1"/>
        <v>107.03125</v>
      </c>
      <c r="L6" s="124"/>
      <c r="M6" s="125"/>
      <c r="N6" s="126"/>
      <c r="O6" s="126"/>
      <c r="P6" s="127"/>
      <c r="Q6" s="128"/>
      <c r="R6" s="128"/>
      <c r="S6" s="128"/>
      <c r="T6" s="129"/>
      <c r="U6" s="129"/>
    </row>
    <row r="7" spans="1:23" s="130" customFormat="1" ht="18" customHeight="1" x14ac:dyDescent="0.25">
      <c r="A7" s="239"/>
      <c r="B7" s="240"/>
      <c r="C7" s="239" t="s">
        <v>932</v>
      </c>
      <c r="D7" s="241">
        <f>SUM(D12+D15)</f>
        <v>0</v>
      </c>
      <c r="E7" s="235">
        <f t="shared" ref="E7:I7" si="6">SUM(E12+E15)</f>
        <v>20026.39</v>
      </c>
      <c r="F7" s="235">
        <f t="shared" si="6"/>
        <v>37169.869999999995</v>
      </c>
      <c r="G7" s="241">
        <f t="shared" si="6"/>
        <v>41500</v>
      </c>
      <c r="H7" s="241">
        <f t="shared" si="6"/>
        <v>45200</v>
      </c>
      <c r="I7" s="241">
        <f t="shared" si="6"/>
        <v>37169.869999999995</v>
      </c>
      <c r="J7" s="8">
        <f t="shared" si="0"/>
        <v>225.70218596561836</v>
      </c>
      <c r="K7" s="98">
        <f t="shared" si="1"/>
        <v>108.91566265060241</v>
      </c>
      <c r="L7" s="124"/>
      <c r="M7" s="125"/>
      <c r="N7" s="126"/>
      <c r="O7" s="126"/>
      <c r="P7" s="127"/>
      <c r="Q7" s="128"/>
      <c r="R7" s="128"/>
      <c r="S7" s="128"/>
      <c r="T7" s="129"/>
      <c r="U7" s="129"/>
    </row>
    <row r="8" spans="1:23" s="130" customFormat="1" ht="18" customHeight="1" x14ac:dyDescent="0.25">
      <c r="A8" s="239"/>
      <c r="B8" s="240"/>
      <c r="C8" s="239"/>
      <c r="D8" s="241"/>
      <c r="E8" s="235">
        <f>SUM(E9:E10)</f>
        <v>905923.3</v>
      </c>
      <c r="F8" s="235">
        <f t="shared" ref="F8:I8" si="7">SUM(F9:F10)</f>
        <v>2000230.3099999998</v>
      </c>
      <c r="G8" s="241">
        <f t="shared" si="7"/>
        <v>2511500</v>
      </c>
      <c r="H8" s="241">
        <f t="shared" si="7"/>
        <v>2349200</v>
      </c>
      <c r="I8" s="241">
        <f t="shared" si="7"/>
        <v>2000230.3099999998</v>
      </c>
      <c r="J8" s="8"/>
      <c r="K8" s="98"/>
      <c r="L8" s="124"/>
      <c r="M8" s="125"/>
      <c r="N8" s="126"/>
      <c r="O8" s="126"/>
      <c r="P8" s="127"/>
      <c r="Q8" s="128"/>
      <c r="R8" s="128"/>
      <c r="S8" s="128"/>
      <c r="T8" s="129"/>
      <c r="U8" s="129"/>
    </row>
    <row r="9" spans="1:23" s="130" customFormat="1" ht="18" customHeight="1" x14ac:dyDescent="0.25">
      <c r="A9" s="121"/>
      <c r="B9" s="122">
        <v>3</v>
      </c>
      <c r="C9" s="121" t="s">
        <v>933</v>
      </c>
      <c r="D9" s="123">
        <f t="shared" ref="D9:I9" si="8">SUM(D17)</f>
        <v>0</v>
      </c>
      <c r="E9" s="179">
        <f t="shared" ref="E9:F9" si="9">SUM(E17)</f>
        <v>789516.9</v>
      </c>
      <c r="F9" s="179">
        <f t="shared" si="9"/>
        <v>1757816.3099999998</v>
      </c>
      <c r="G9" s="123">
        <f t="shared" si="8"/>
        <v>2301500</v>
      </c>
      <c r="H9" s="123">
        <f t="shared" si="8"/>
        <v>2111200</v>
      </c>
      <c r="I9" s="123">
        <f t="shared" si="8"/>
        <v>1757816.3099999998</v>
      </c>
      <c r="J9" s="8">
        <f t="shared" si="0"/>
        <v>267.40402897012086</v>
      </c>
      <c r="K9" s="98">
        <f t="shared" si="1"/>
        <v>91.731479469910923</v>
      </c>
      <c r="L9" s="124"/>
      <c r="M9" s="125"/>
      <c r="N9" s="126"/>
      <c r="O9" s="126"/>
      <c r="P9" s="127"/>
      <c r="Q9" s="128"/>
      <c r="R9" s="128"/>
      <c r="S9" s="128"/>
      <c r="T9" s="129"/>
      <c r="U9" s="129"/>
    </row>
    <row r="10" spans="1:23" s="130" customFormat="1" ht="18" customHeight="1" x14ac:dyDescent="0.25">
      <c r="A10" s="121"/>
      <c r="B10" s="122"/>
      <c r="C10" s="121" t="s">
        <v>1114</v>
      </c>
      <c r="D10" s="123">
        <f>SUM(D236)</f>
        <v>0</v>
      </c>
      <c r="E10" s="179">
        <f t="shared" ref="E10:I10" si="10">SUM(E236)</f>
        <v>116406.39999999999</v>
      </c>
      <c r="F10" s="179">
        <f t="shared" si="10"/>
        <v>242414</v>
      </c>
      <c r="G10" s="123">
        <f t="shared" si="10"/>
        <v>210000</v>
      </c>
      <c r="H10" s="123">
        <f t="shared" si="10"/>
        <v>238000</v>
      </c>
      <c r="I10" s="123">
        <f t="shared" si="10"/>
        <v>242414</v>
      </c>
      <c r="J10" s="8"/>
      <c r="K10" s="98"/>
      <c r="L10" s="124"/>
      <c r="M10" s="125"/>
      <c r="N10" s="126"/>
      <c r="O10" s="126"/>
      <c r="P10" s="127"/>
      <c r="Q10" s="128"/>
      <c r="R10" s="128"/>
      <c r="S10" s="128"/>
      <c r="T10" s="129"/>
      <c r="U10" s="129"/>
    </row>
    <row r="11" spans="1:23" s="130" customFormat="1" ht="18" customHeight="1" x14ac:dyDescent="0.25">
      <c r="A11" s="121"/>
      <c r="B11" s="122">
        <v>3</v>
      </c>
      <c r="C11" s="121" t="s">
        <v>934</v>
      </c>
      <c r="D11" s="123">
        <f t="shared" ref="D11:I11" si="11">SUM(D402)</f>
        <v>0</v>
      </c>
      <c r="E11" s="179">
        <f t="shared" ref="E11:F11" si="12">SUM(E402)</f>
        <v>142912.26999999999</v>
      </c>
      <c r="F11" s="179">
        <f t="shared" si="12"/>
        <v>291985.69</v>
      </c>
      <c r="G11" s="123">
        <f t="shared" si="11"/>
        <v>320000</v>
      </c>
      <c r="H11" s="123">
        <f t="shared" si="11"/>
        <v>342500</v>
      </c>
      <c r="I11" s="123">
        <f t="shared" si="11"/>
        <v>291985.69</v>
      </c>
      <c r="J11" s="8">
        <f t="shared" si="0"/>
        <v>239.65751856016283</v>
      </c>
      <c r="K11" s="98">
        <f t="shared" si="1"/>
        <v>107.03125</v>
      </c>
      <c r="L11" s="124"/>
      <c r="M11" s="125"/>
      <c r="N11" s="126"/>
      <c r="O11" s="126"/>
      <c r="P11" s="127"/>
      <c r="Q11" s="128"/>
      <c r="R11" s="128"/>
      <c r="S11" s="128"/>
      <c r="T11" s="129"/>
      <c r="U11" s="129"/>
    </row>
    <row r="12" spans="1:23" s="130" customFormat="1" ht="18" customHeight="1" x14ac:dyDescent="0.25">
      <c r="A12" s="121"/>
      <c r="B12" s="122">
        <v>3</v>
      </c>
      <c r="C12" s="121" t="s">
        <v>935</v>
      </c>
      <c r="D12" s="123">
        <f>SUM(D513)</f>
        <v>0</v>
      </c>
      <c r="E12" s="179">
        <f t="shared" ref="E12:I12" si="13">SUM(E513)</f>
        <v>11572.96</v>
      </c>
      <c r="F12" s="179">
        <f t="shared" si="13"/>
        <v>24548.75</v>
      </c>
      <c r="G12" s="123">
        <f t="shared" si="13"/>
        <v>36700</v>
      </c>
      <c r="H12" s="123">
        <f t="shared" si="13"/>
        <v>32500</v>
      </c>
      <c r="I12" s="123">
        <f t="shared" si="13"/>
        <v>24548.75</v>
      </c>
      <c r="J12" s="8">
        <f t="shared" si="0"/>
        <v>280.82703128672352</v>
      </c>
      <c r="K12" s="98">
        <f t="shared" si="1"/>
        <v>88.555858310626704</v>
      </c>
      <c r="L12" s="124"/>
      <c r="M12" s="125"/>
      <c r="N12" s="126"/>
      <c r="O12" s="126"/>
      <c r="P12" s="127"/>
      <c r="Q12" s="128"/>
      <c r="R12" s="128"/>
      <c r="S12" s="128"/>
      <c r="T12" s="129"/>
      <c r="U12" s="129"/>
    </row>
    <row r="13" spans="1:23" s="130" customFormat="1" ht="18" customHeight="1" x14ac:dyDescent="0.25">
      <c r="A13" s="121"/>
      <c r="B13" s="122">
        <v>4</v>
      </c>
      <c r="C13" s="121" t="s">
        <v>936</v>
      </c>
      <c r="D13" s="123">
        <f t="shared" ref="D13:I13" si="14">SUM(D338)</f>
        <v>0</v>
      </c>
      <c r="E13" s="179">
        <f t="shared" ref="E13:F13" si="15">SUM(E338)</f>
        <v>164680.65999999997</v>
      </c>
      <c r="F13" s="179">
        <f t="shared" si="15"/>
        <v>651899.66000000015</v>
      </c>
      <c r="G13" s="123">
        <f t="shared" si="14"/>
        <v>1623500</v>
      </c>
      <c r="H13" s="123">
        <f t="shared" si="14"/>
        <v>751500</v>
      </c>
      <c r="I13" s="123">
        <f t="shared" si="14"/>
        <v>651899.66000000015</v>
      </c>
      <c r="J13" s="8">
        <f t="shared" si="0"/>
        <v>456.33773874843604</v>
      </c>
      <c r="K13" s="98">
        <f t="shared" si="1"/>
        <v>46.288882044964581</v>
      </c>
      <c r="L13" s="124"/>
      <c r="M13" s="125"/>
      <c r="N13" s="126"/>
      <c r="O13" s="126"/>
      <c r="P13" s="127"/>
      <c r="Q13" s="128"/>
      <c r="R13" s="128"/>
      <c r="S13" s="128"/>
      <c r="T13" s="129"/>
      <c r="U13" s="129"/>
    </row>
    <row r="14" spans="1:23" s="130" customFormat="1" ht="18" customHeight="1" x14ac:dyDescent="0.25">
      <c r="A14" s="121"/>
      <c r="B14" s="122">
        <v>4</v>
      </c>
      <c r="C14" s="121" t="s">
        <v>937</v>
      </c>
      <c r="D14" s="123">
        <f t="shared" ref="D14:I14" si="16">SUM(D502)</f>
        <v>0</v>
      </c>
      <c r="E14" s="179">
        <f t="shared" ref="E14:F14" si="17">SUM(E502)</f>
        <v>0</v>
      </c>
      <c r="F14" s="179">
        <f t="shared" si="17"/>
        <v>0</v>
      </c>
      <c r="G14" s="123">
        <f t="shared" si="16"/>
        <v>0</v>
      </c>
      <c r="H14" s="123">
        <f t="shared" si="16"/>
        <v>0</v>
      </c>
      <c r="I14" s="123">
        <f t="shared" si="16"/>
        <v>0</v>
      </c>
      <c r="J14" s="8">
        <f t="shared" si="0"/>
        <v>0</v>
      </c>
      <c r="K14" s="98">
        <f t="shared" si="1"/>
        <v>0</v>
      </c>
      <c r="L14" s="124"/>
      <c r="M14" s="125"/>
      <c r="N14" s="126"/>
      <c r="O14" s="126"/>
      <c r="P14" s="127"/>
      <c r="Q14" s="128"/>
      <c r="R14" s="128"/>
      <c r="S14" s="128"/>
      <c r="T14" s="129"/>
      <c r="U14" s="129"/>
    </row>
    <row r="15" spans="1:23" s="130" customFormat="1" ht="18" customHeight="1" x14ac:dyDescent="0.25">
      <c r="A15" s="121"/>
      <c r="B15" s="122">
        <v>4</v>
      </c>
      <c r="C15" s="121" t="s">
        <v>1122</v>
      </c>
      <c r="D15" s="123">
        <f>SUM(D564)</f>
        <v>0</v>
      </c>
      <c r="E15" s="179">
        <f t="shared" ref="E15:I15" si="18">SUM(E564)</f>
        <v>8453.43</v>
      </c>
      <c r="F15" s="179">
        <f t="shared" si="18"/>
        <v>12621.119999999999</v>
      </c>
      <c r="G15" s="123">
        <f t="shared" si="18"/>
        <v>4800</v>
      </c>
      <c r="H15" s="123">
        <f t="shared" si="18"/>
        <v>12700</v>
      </c>
      <c r="I15" s="123">
        <f t="shared" si="18"/>
        <v>12621.119999999999</v>
      </c>
      <c r="J15" s="8">
        <f t="shared" ref="J15" si="19">IFERROR(SUM(H15/E15),0)*100</f>
        <v>150.2348750743781</v>
      </c>
      <c r="K15" s="98">
        <f t="shared" ref="K15" si="20">IFERROR(SUM(H15/G15),0)*100</f>
        <v>264.58333333333337</v>
      </c>
      <c r="L15" s="124"/>
      <c r="M15" s="125"/>
      <c r="N15" s="126"/>
      <c r="O15" s="126"/>
      <c r="P15" s="127"/>
      <c r="Q15" s="128"/>
      <c r="R15" s="128"/>
      <c r="S15" s="128"/>
      <c r="T15" s="129"/>
      <c r="U15" s="129"/>
    </row>
    <row r="16" spans="1:23" s="130" customFormat="1" ht="18" customHeight="1" x14ac:dyDescent="0.25">
      <c r="A16" s="121"/>
      <c r="B16" s="122"/>
      <c r="C16" s="121"/>
      <c r="D16" s="123"/>
      <c r="E16" s="179"/>
      <c r="F16" s="179"/>
      <c r="G16" s="123"/>
      <c r="H16" s="123"/>
      <c r="I16" s="123"/>
      <c r="J16" s="8"/>
      <c r="K16" s="98"/>
      <c r="L16" s="124"/>
      <c r="M16" s="125"/>
      <c r="N16" s="126"/>
      <c r="O16" s="126"/>
      <c r="P16" s="127"/>
      <c r="Q16" s="128"/>
      <c r="R16" s="128"/>
      <c r="S16" s="128"/>
      <c r="T16" s="129"/>
      <c r="U16" s="129"/>
    </row>
    <row r="17" spans="1:23" s="33" customFormat="1" x14ac:dyDescent="0.25">
      <c r="A17" s="6"/>
      <c r="B17" s="6">
        <v>3</v>
      </c>
      <c r="C17" s="10" t="s">
        <v>145</v>
      </c>
      <c r="D17" s="34">
        <f>SUM(D18+D44+D213+D225+D230+D241+D266)</f>
        <v>0</v>
      </c>
      <c r="E17" s="181">
        <f>SUM(E18+E44+E213+E221+E230+E241+E266)</f>
        <v>789516.9</v>
      </c>
      <c r="F17" s="181">
        <f>SUM(F18+F44+F213+F221+F230+F241+F266)</f>
        <v>1757816.3099999998</v>
      </c>
      <c r="G17" s="34">
        <f>SUM(G18+G44+G213+G221+G230+G241+G266)</f>
        <v>2301500</v>
      </c>
      <c r="H17" s="34">
        <f>SUM(H18+H44+H213+H221+H230+H241+H266)</f>
        <v>2111200</v>
      </c>
      <c r="I17" s="34">
        <f>SUM(I18+I44+I213+I221+I230+I241+I266)</f>
        <v>1757816.3099999998</v>
      </c>
      <c r="J17" s="8">
        <f t="shared" si="0"/>
        <v>267.40402897012086</v>
      </c>
      <c r="K17" s="98">
        <f t="shared" ref="K17:K65" si="21">IFERROR(SUM(H17/G17),0)*100</f>
        <v>91.731479469910923</v>
      </c>
      <c r="L17" s="103"/>
      <c r="M17" s="77"/>
      <c r="N17" s="76"/>
      <c r="O17" s="76"/>
      <c r="P17" s="102"/>
      <c r="Q17" s="74"/>
      <c r="R17" s="74"/>
      <c r="S17" s="74"/>
      <c r="T17" s="111"/>
      <c r="U17" s="111"/>
      <c r="V17" s="36"/>
      <c r="W17" s="36"/>
    </row>
    <row r="18" spans="1:23" s="36" customFormat="1" x14ac:dyDescent="0.25">
      <c r="A18" s="6"/>
      <c r="B18" s="6">
        <v>31</v>
      </c>
      <c r="C18" s="10" t="s">
        <v>146</v>
      </c>
      <c r="D18" s="8">
        <f t="shared" ref="D18:I18" si="22">SUM(D19+D24+D32)</f>
        <v>0</v>
      </c>
      <c r="E18" s="182">
        <f>SUM(E19+E24+E32)</f>
        <v>150146.29999999999</v>
      </c>
      <c r="F18" s="182">
        <f t="shared" ref="F18" si="23">SUM(F19+F24+F32)</f>
        <v>221116.62</v>
      </c>
      <c r="G18" s="8">
        <f t="shared" si="22"/>
        <v>384000</v>
      </c>
      <c r="H18" s="8">
        <f>SUM(H19+H24+H32)</f>
        <v>271400</v>
      </c>
      <c r="I18" s="8">
        <f t="shared" si="22"/>
        <v>221116.62</v>
      </c>
      <c r="J18" s="8">
        <f t="shared" si="0"/>
        <v>180.75703497189076</v>
      </c>
      <c r="K18" s="98">
        <f t="shared" si="21"/>
        <v>70.677083333333329</v>
      </c>
      <c r="L18" s="103"/>
      <c r="M18" s="77"/>
      <c r="N18" s="76"/>
      <c r="O18" s="76"/>
      <c r="P18" s="102"/>
      <c r="Q18" s="74"/>
      <c r="R18" s="74"/>
      <c r="S18" s="74"/>
      <c r="T18" s="112"/>
      <c r="U18" s="112"/>
      <c r="V18" s="41"/>
      <c r="W18" s="41"/>
    </row>
    <row r="19" spans="1:23" s="41" customFormat="1" x14ac:dyDescent="0.25">
      <c r="A19" s="11"/>
      <c r="B19" s="11">
        <v>311</v>
      </c>
      <c r="C19" s="12" t="s">
        <v>147</v>
      </c>
      <c r="D19" s="35">
        <f t="shared" ref="D19:I19" si="24">SUM(D20:D20)</f>
        <v>0</v>
      </c>
      <c r="E19" s="183">
        <f t="shared" si="24"/>
        <v>98718.209999999992</v>
      </c>
      <c r="F19" s="183">
        <f t="shared" si="24"/>
        <v>144838.03</v>
      </c>
      <c r="G19" s="35">
        <f t="shared" si="24"/>
        <v>226000</v>
      </c>
      <c r="H19" s="35">
        <f t="shared" si="24"/>
        <v>169200</v>
      </c>
      <c r="I19" s="35">
        <f t="shared" si="24"/>
        <v>144838.03</v>
      </c>
      <c r="J19" s="8">
        <f t="shared" si="0"/>
        <v>171.3969489519715</v>
      </c>
      <c r="K19" s="98">
        <f t="shared" si="21"/>
        <v>74.86725663716814</v>
      </c>
      <c r="L19" s="103"/>
      <c r="M19" s="77"/>
      <c r="N19" s="76"/>
      <c r="O19" s="76"/>
      <c r="P19" s="102"/>
      <c r="Q19" s="74"/>
      <c r="R19" s="74"/>
      <c r="S19" s="74"/>
      <c r="T19" s="113"/>
      <c r="U19" s="113"/>
      <c r="V19" s="43"/>
      <c r="W19" s="43"/>
    </row>
    <row r="20" spans="1:23" s="43" customFormat="1" x14ac:dyDescent="0.25">
      <c r="A20" s="37"/>
      <c r="B20" s="37">
        <v>3111</v>
      </c>
      <c r="C20" s="38" t="s">
        <v>72</v>
      </c>
      <c r="D20" s="39">
        <f t="shared" ref="D20:I20" si="25">SUM(D21:D23)</f>
        <v>0</v>
      </c>
      <c r="E20" s="184">
        <f>SUM(E21:E23)</f>
        <v>98718.209999999992</v>
      </c>
      <c r="F20" s="184">
        <f t="shared" ref="F20" si="26">SUM(F21:F23)</f>
        <v>144838.03</v>
      </c>
      <c r="G20" s="39">
        <f t="shared" si="25"/>
        <v>226000</v>
      </c>
      <c r="H20" s="39">
        <f>SUM(H21:H23)</f>
        <v>169200</v>
      </c>
      <c r="I20" s="39">
        <f t="shared" si="25"/>
        <v>144838.03</v>
      </c>
      <c r="J20" s="8">
        <f t="shared" si="0"/>
        <v>171.3969489519715</v>
      </c>
      <c r="K20" s="98">
        <f t="shared" si="21"/>
        <v>74.86725663716814</v>
      </c>
    </row>
    <row r="21" spans="1:23" s="43" customFormat="1" x14ac:dyDescent="0.25">
      <c r="A21" s="15">
        <v>1</v>
      </c>
      <c r="B21" s="15">
        <v>311111</v>
      </c>
      <c r="C21" s="16" t="s">
        <v>148</v>
      </c>
      <c r="D21" s="45"/>
      <c r="E21" s="185">
        <v>35843.82</v>
      </c>
      <c r="F21" s="185">
        <v>68705.789999999994</v>
      </c>
      <c r="G21" s="42">
        <v>93000</v>
      </c>
      <c r="H21" s="42">
        <v>93000</v>
      </c>
      <c r="I21" s="42">
        <v>68705.789999999994</v>
      </c>
      <c r="J21" s="8">
        <f t="shared" si="0"/>
        <v>259.45895275670955</v>
      </c>
      <c r="K21" s="98">
        <f t="shared" si="21"/>
        <v>100</v>
      </c>
      <c r="L21" s="103">
        <v>11</v>
      </c>
      <c r="M21" s="77">
        <v>11</v>
      </c>
      <c r="N21" s="76">
        <v>11</v>
      </c>
      <c r="O21" s="76">
        <v>11</v>
      </c>
      <c r="P21" s="102">
        <v>11</v>
      </c>
      <c r="Q21" s="74" t="s">
        <v>567</v>
      </c>
      <c r="R21" s="74" t="s">
        <v>567</v>
      </c>
      <c r="S21" s="74" t="s">
        <v>567</v>
      </c>
      <c r="T21" s="113" t="s">
        <v>567</v>
      </c>
      <c r="U21" s="113" t="s">
        <v>567</v>
      </c>
    </row>
    <row r="22" spans="1:23" s="43" customFormat="1" x14ac:dyDescent="0.25">
      <c r="A22" s="15">
        <v>3</v>
      </c>
      <c r="B22" s="15">
        <v>311120</v>
      </c>
      <c r="C22" s="16" t="s">
        <v>499</v>
      </c>
      <c r="D22" s="45"/>
      <c r="E22" s="185">
        <v>62874.39</v>
      </c>
      <c r="F22" s="185">
        <v>76132.240000000005</v>
      </c>
      <c r="G22" s="42">
        <v>133000</v>
      </c>
      <c r="H22" s="42">
        <v>76200</v>
      </c>
      <c r="I22" s="42">
        <v>76132.240000000005</v>
      </c>
      <c r="J22" s="8">
        <f t="shared" si="0"/>
        <v>121.19401874117585</v>
      </c>
      <c r="K22" s="98">
        <f t="shared" si="21"/>
        <v>57.293233082706763</v>
      </c>
      <c r="L22" s="103">
        <v>41</v>
      </c>
      <c r="M22" s="77">
        <v>41</v>
      </c>
      <c r="N22" s="76">
        <v>41</v>
      </c>
      <c r="O22" s="76">
        <v>41</v>
      </c>
      <c r="P22" s="102">
        <v>41</v>
      </c>
      <c r="Q22" s="74" t="s">
        <v>703</v>
      </c>
      <c r="R22" s="74" t="s">
        <v>703</v>
      </c>
      <c r="S22" s="74" t="s">
        <v>703</v>
      </c>
      <c r="T22" s="113" t="s">
        <v>703</v>
      </c>
      <c r="U22" s="113" t="s">
        <v>703</v>
      </c>
    </row>
    <row r="23" spans="1:23" s="43" customFormat="1" x14ac:dyDescent="0.25">
      <c r="A23" s="15">
        <v>7</v>
      </c>
      <c r="B23" s="15">
        <v>311117</v>
      </c>
      <c r="C23" s="16" t="s">
        <v>149</v>
      </c>
      <c r="D23" s="45"/>
      <c r="E23" s="185"/>
      <c r="F23" s="185"/>
      <c r="G23" s="42"/>
      <c r="H23" s="42"/>
      <c r="I23" s="42"/>
      <c r="J23" s="8">
        <f t="shared" si="0"/>
        <v>0</v>
      </c>
      <c r="K23" s="98">
        <f t="shared" si="21"/>
        <v>0</v>
      </c>
      <c r="L23" s="103">
        <v>41</v>
      </c>
      <c r="M23" s="77">
        <v>41</v>
      </c>
      <c r="N23" s="76">
        <v>41</v>
      </c>
      <c r="O23" s="76">
        <v>41</v>
      </c>
      <c r="P23" s="102">
        <v>41</v>
      </c>
      <c r="Q23" s="74" t="s">
        <v>567</v>
      </c>
      <c r="R23" s="74" t="s">
        <v>567</v>
      </c>
      <c r="S23" s="74" t="s">
        <v>567</v>
      </c>
      <c r="T23" s="74" t="s">
        <v>567</v>
      </c>
      <c r="U23" s="74" t="s">
        <v>567</v>
      </c>
    </row>
    <row r="24" spans="1:23" s="43" customFormat="1" x14ac:dyDescent="0.25">
      <c r="A24" s="11"/>
      <c r="B24" s="11">
        <v>312</v>
      </c>
      <c r="C24" s="12" t="s">
        <v>150</v>
      </c>
      <c r="D24" s="35">
        <f t="shared" ref="D24:I24" si="27">SUM(D25:D25)</f>
        <v>0</v>
      </c>
      <c r="E24" s="183">
        <f t="shared" si="27"/>
        <v>6389.78</v>
      </c>
      <c r="F24" s="183">
        <f t="shared" si="27"/>
        <v>10211.560000000001</v>
      </c>
      <c r="G24" s="35">
        <f t="shared" si="27"/>
        <v>25000</v>
      </c>
      <c r="H24" s="35">
        <f t="shared" si="27"/>
        <v>18300</v>
      </c>
      <c r="I24" s="35">
        <f t="shared" si="27"/>
        <v>10211.560000000001</v>
      </c>
      <c r="J24" s="8">
        <f t="shared" si="0"/>
        <v>286.39483675494307</v>
      </c>
      <c r="K24" s="98">
        <f t="shared" si="21"/>
        <v>73.2</v>
      </c>
      <c r="L24" s="103"/>
      <c r="M24" s="77"/>
      <c r="N24" s="76"/>
      <c r="O24" s="76"/>
      <c r="P24" s="102"/>
      <c r="Q24" s="74"/>
      <c r="R24" s="74"/>
      <c r="S24" s="74"/>
      <c r="T24" s="113"/>
      <c r="U24" s="113"/>
    </row>
    <row r="25" spans="1:23" s="43" customFormat="1" x14ac:dyDescent="0.25">
      <c r="A25" s="37"/>
      <c r="B25" s="37">
        <v>3121</v>
      </c>
      <c r="C25" s="38" t="s">
        <v>4</v>
      </c>
      <c r="D25" s="39">
        <f t="shared" ref="D25:I25" si="28">SUM(D26:D31)</f>
        <v>0</v>
      </c>
      <c r="E25" s="184">
        <f>SUM(E26:E31)</f>
        <v>6389.78</v>
      </c>
      <c r="F25" s="184">
        <f t="shared" ref="F25" si="29">SUM(F26:F31)</f>
        <v>10211.560000000001</v>
      </c>
      <c r="G25" s="39">
        <f t="shared" si="28"/>
        <v>25000</v>
      </c>
      <c r="H25" s="39">
        <f>SUM(H26:H31)</f>
        <v>18300</v>
      </c>
      <c r="I25" s="39">
        <f t="shared" si="28"/>
        <v>10211.560000000001</v>
      </c>
      <c r="J25" s="8">
        <f t="shared" si="0"/>
        <v>286.39483675494307</v>
      </c>
      <c r="K25" s="98">
        <f t="shared" si="21"/>
        <v>73.2</v>
      </c>
      <c r="L25" s="103"/>
      <c r="M25" s="77"/>
      <c r="N25" s="76"/>
      <c r="O25" s="76"/>
      <c r="P25" s="102"/>
      <c r="Q25" s="74"/>
      <c r="R25" s="74"/>
      <c r="S25" s="74"/>
      <c r="T25" s="113"/>
      <c r="U25" s="113"/>
    </row>
    <row r="26" spans="1:23" s="43" customFormat="1" x14ac:dyDescent="0.25">
      <c r="A26" s="15">
        <v>9</v>
      </c>
      <c r="B26" s="15">
        <v>312121</v>
      </c>
      <c r="C26" s="16" t="s">
        <v>151</v>
      </c>
      <c r="D26" s="45"/>
      <c r="E26" s="185">
        <v>2328</v>
      </c>
      <c r="F26" s="185">
        <v>3318.86</v>
      </c>
      <c r="G26" s="42">
        <v>11000</v>
      </c>
      <c r="H26" s="42">
        <v>11000</v>
      </c>
      <c r="I26" s="42">
        <v>3318.86</v>
      </c>
      <c r="J26" s="8">
        <f t="shared" si="0"/>
        <v>472.50859106529208</v>
      </c>
      <c r="K26" s="98">
        <f t="shared" si="21"/>
        <v>100</v>
      </c>
      <c r="L26" s="103">
        <v>11</v>
      </c>
      <c r="M26" s="77">
        <v>11</v>
      </c>
      <c r="N26" s="76">
        <v>11</v>
      </c>
      <c r="O26" s="76">
        <v>11</v>
      </c>
      <c r="P26" s="102">
        <v>11</v>
      </c>
      <c r="Q26" s="74" t="s">
        <v>567</v>
      </c>
      <c r="R26" s="74" t="s">
        <v>567</v>
      </c>
      <c r="S26" s="74" t="s">
        <v>567</v>
      </c>
      <c r="T26" s="74" t="s">
        <v>567</v>
      </c>
      <c r="U26" s="74" t="s">
        <v>567</v>
      </c>
    </row>
    <row r="27" spans="1:23" s="43" customFormat="1" x14ac:dyDescent="0.25">
      <c r="A27" s="15"/>
      <c r="B27" s="15">
        <v>312122</v>
      </c>
      <c r="C27" s="16" t="s">
        <v>783</v>
      </c>
      <c r="D27" s="45"/>
      <c r="E27" s="185">
        <v>1800</v>
      </c>
      <c r="F27" s="185">
        <v>1800</v>
      </c>
      <c r="G27" s="42">
        <v>5000</v>
      </c>
      <c r="H27" s="42">
        <v>1800</v>
      </c>
      <c r="I27" s="42">
        <v>1800</v>
      </c>
      <c r="J27" s="8"/>
      <c r="K27" s="98">
        <f t="shared" si="21"/>
        <v>36</v>
      </c>
      <c r="L27" s="103">
        <v>41</v>
      </c>
      <c r="M27" s="77">
        <v>41</v>
      </c>
      <c r="N27" s="76">
        <v>41</v>
      </c>
      <c r="O27" s="76">
        <v>41</v>
      </c>
      <c r="P27" s="102">
        <v>41</v>
      </c>
      <c r="Q27" s="74" t="s">
        <v>703</v>
      </c>
      <c r="R27" s="74" t="s">
        <v>703</v>
      </c>
      <c r="S27" s="74" t="s">
        <v>703</v>
      </c>
      <c r="T27" s="74" t="s">
        <v>703</v>
      </c>
      <c r="U27" s="74" t="s">
        <v>703</v>
      </c>
      <c r="V27" s="41"/>
      <c r="W27" s="41"/>
    </row>
    <row r="28" spans="1:23" s="41" customFormat="1" ht="16.5" customHeight="1" x14ac:dyDescent="0.25">
      <c r="A28" s="15">
        <v>14</v>
      </c>
      <c r="B28" s="15">
        <v>31213</v>
      </c>
      <c r="C28" s="16" t="s">
        <v>152</v>
      </c>
      <c r="D28" s="45"/>
      <c r="E28" s="185">
        <v>1061.78</v>
      </c>
      <c r="F28" s="185">
        <v>1592.7</v>
      </c>
      <c r="G28" s="42">
        <v>2000</v>
      </c>
      <c r="H28" s="42">
        <v>2000</v>
      </c>
      <c r="I28" s="42">
        <v>1592.7</v>
      </c>
      <c r="J28" s="8">
        <f t="shared" ref="J28:J53" si="30">IFERROR(SUM(H28/E28),0)*100</f>
        <v>188.36293770837651</v>
      </c>
      <c r="K28" s="98">
        <f t="shared" si="21"/>
        <v>100</v>
      </c>
      <c r="L28" s="103">
        <v>11</v>
      </c>
      <c r="M28" s="77">
        <v>11</v>
      </c>
      <c r="N28" s="76">
        <v>11</v>
      </c>
      <c r="O28" s="76">
        <v>11</v>
      </c>
      <c r="P28" s="102">
        <v>11</v>
      </c>
      <c r="Q28" s="74" t="s">
        <v>567</v>
      </c>
      <c r="R28" s="74" t="s">
        <v>567</v>
      </c>
      <c r="S28" s="74" t="s">
        <v>567</v>
      </c>
      <c r="T28" s="74" t="s">
        <v>567</v>
      </c>
      <c r="U28" s="74" t="s">
        <v>567</v>
      </c>
      <c r="V28" s="43"/>
      <c r="W28" s="43"/>
    </row>
    <row r="29" spans="1:23" s="43" customFormat="1" ht="16.5" customHeight="1" x14ac:dyDescent="0.25">
      <c r="A29" s="15">
        <v>15</v>
      </c>
      <c r="B29" s="15">
        <v>31214</v>
      </c>
      <c r="C29" s="16" t="s">
        <v>735</v>
      </c>
      <c r="D29" s="45"/>
      <c r="E29" s="185"/>
      <c r="F29" s="185"/>
      <c r="G29" s="42"/>
      <c r="H29" s="42"/>
      <c r="I29" s="42"/>
      <c r="J29" s="8">
        <f t="shared" si="30"/>
        <v>0</v>
      </c>
      <c r="K29" s="98">
        <f t="shared" si="21"/>
        <v>0</v>
      </c>
      <c r="L29" s="103"/>
      <c r="M29" s="77"/>
      <c r="N29" s="76"/>
      <c r="O29" s="76"/>
      <c r="P29" s="102"/>
      <c r="Q29" s="74"/>
      <c r="R29" s="74"/>
      <c r="S29" s="74"/>
      <c r="T29" s="113"/>
      <c r="U29" s="113"/>
    </row>
    <row r="30" spans="1:23" s="43" customFormat="1" ht="16.5" customHeight="1" x14ac:dyDescent="0.25">
      <c r="A30" s="15">
        <v>16</v>
      </c>
      <c r="B30" s="15">
        <v>312161</v>
      </c>
      <c r="C30" s="16" t="s">
        <v>153</v>
      </c>
      <c r="D30" s="45"/>
      <c r="E30" s="185">
        <v>1200</v>
      </c>
      <c r="F30" s="185">
        <v>1200</v>
      </c>
      <c r="G30" s="42">
        <v>2000</v>
      </c>
      <c r="H30" s="42">
        <v>1200</v>
      </c>
      <c r="I30" s="42">
        <v>1200</v>
      </c>
      <c r="J30" s="8">
        <f t="shared" si="30"/>
        <v>100</v>
      </c>
      <c r="K30" s="98">
        <f t="shared" si="21"/>
        <v>60</v>
      </c>
      <c r="L30" s="103">
        <v>11</v>
      </c>
      <c r="M30" s="77">
        <v>11</v>
      </c>
      <c r="N30" s="76">
        <v>11</v>
      </c>
      <c r="O30" s="76">
        <v>11</v>
      </c>
      <c r="P30" s="102">
        <v>11</v>
      </c>
      <c r="Q30" s="74" t="s">
        <v>567</v>
      </c>
      <c r="R30" s="74" t="s">
        <v>567</v>
      </c>
      <c r="S30" s="74" t="s">
        <v>567</v>
      </c>
      <c r="T30" s="74" t="s">
        <v>567</v>
      </c>
      <c r="U30" s="74" t="s">
        <v>567</v>
      </c>
    </row>
    <row r="31" spans="1:23" s="43" customFormat="1" ht="16.5" customHeight="1" x14ac:dyDescent="0.25">
      <c r="A31" s="15"/>
      <c r="B31" s="15">
        <v>312162</v>
      </c>
      <c r="C31" s="16" t="s">
        <v>554</v>
      </c>
      <c r="D31" s="45"/>
      <c r="E31" s="185"/>
      <c r="F31" s="185">
        <v>2300</v>
      </c>
      <c r="G31" s="42">
        <v>5000</v>
      </c>
      <c r="H31" s="42">
        <v>2300</v>
      </c>
      <c r="I31" s="42">
        <v>2300</v>
      </c>
      <c r="J31" s="8">
        <f t="shared" si="30"/>
        <v>0</v>
      </c>
      <c r="K31" s="98">
        <f t="shared" si="21"/>
        <v>46</v>
      </c>
      <c r="L31" s="103">
        <v>41</v>
      </c>
      <c r="M31" s="77">
        <v>41</v>
      </c>
      <c r="N31" s="76">
        <v>41</v>
      </c>
      <c r="O31" s="76">
        <v>41</v>
      </c>
      <c r="P31" s="102">
        <v>41</v>
      </c>
      <c r="Q31" s="74" t="s">
        <v>703</v>
      </c>
      <c r="R31" s="74" t="s">
        <v>703</v>
      </c>
      <c r="S31" s="74" t="s">
        <v>703</v>
      </c>
      <c r="T31" s="74" t="s">
        <v>703</v>
      </c>
      <c r="U31" s="74" t="s">
        <v>703</v>
      </c>
    </row>
    <row r="32" spans="1:23" s="43" customFormat="1" ht="16.5" customHeight="1" x14ac:dyDescent="0.25">
      <c r="A32" s="11"/>
      <c r="B32" s="11">
        <v>313</v>
      </c>
      <c r="C32" s="12" t="s">
        <v>154</v>
      </c>
      <c r="D32" s="13">
        <f t="shared" ref="D32:I32" si="31">SUM(D33+D40)</f>
        <v>0</v>
      </c>
      <c r="E32" s="186">
        <f>SUM(E33+E40)</f>
        <v>45038.31</v>
      </c>
      <c r="F32" s="186">
        <f t="shared" ref="F32" si="32">SUM(F33+F40)</f>
        <v>66067.03</v>
      </c>
      <c r="G32" s="13">
        <f t="shared" si="31"/>
        <v>133000</v>
      </c>
      <c r="H32" s="13">
        <f>SUM(H33+H40)</f>
        <v>83900</v>
      </c>
      <c r="I32" s="13">
        <f t="shared" si="31"/>
        <v>66067.03</v>
      </c>
      <c r="J32" s="8">
        <f t="shared" si="30"/>
        <v>186.28585308818205</v>
      </c>
      <c r="K32" s="98">
        <f t="shared" si="21"/>
        <v>63.082706766917298</v>
      </c>
      <c r="L32" s="103"/>
      <c r="M32" s="77"/>
      <c r="N32" s="76"/>
      <c r="O32" s="76"/>
      <c r="P32" s="102"/>
      <c r="Q32" s="74"/>
      <c r="R32" s="74"/>
      <c r="S32" s="74"/>
      <c r="T32" s="113"/>
      <c r="U32" s="113"/>
    </row>
    <row r="33" spans="1:23" s="43" customFormat="1" ht="16.5" customHeight="1" x14ac:dyDescent="0.25">
      <c r="A33" s="37"/>
      <c r="B33" s="37">
        <v>3131</v>
      </c>
      <c r="C33" s="38" t="s">
        <v>155</v>
      </c>
      <c r="D33" s="39">
        <f t="shared" ref="D33:I33" si="33">SUM(D34:D39)</f>
        <v>0</v>
      </c>
      <c r="E33" s="184">
        <f>SUM(E34:E39)</f>
        <v>24678.559999999998</v>
      </c>
      <c r="F33" s="184">
        <f t="shared" ref="F33" si="34">SUM(F34:F39)</f>
        <v>36196.99</v>
      </c>
      <c r="G33" s="39">
        <f t="shared" si="33"/>
        <v>66000</v>
      </c>
      <c r="H33" s="39">
        <f>SUM(H34:H39)</f>
        <v>48100</v>
      </c>
      <c r="I33" s="39">
        <f t="shared" si="33"/>
        <v>36196.99</v>
      </c>
      <c r="J33" s="8">
        <f t="shared" si="30"/>
        <v>194.90602369019911</v>
      </c>
      <c r="K33" s="98">
        <f t="shared" si="21"/>
        <v>72.878787878787875</v>
      </c>
      <c r="L33" s="103"/>
      <c r="M33" s="77"/>
      <c r="N33" s="76"/>
      <c r="O33" s="76"/>
      <c r="P33" s="102"/>
      <c r="Q33" s="74"/>
      <c r="R33" s="74"/>
      <c r="S33" s="74"/>
      <c r="T33" s="113"/>
      <c r="U33" s="113"/>
    </row>
    <row r="34" spans="1:23" s="43" customFormat="1" ht="16.5" customHeight="1" x14ac:dyDescent="0.25">
      <c r="A34" s="15">
        <v>20</v>
      </c>
      <c r="B34" s="15">
        <v>3131111</v>
      </c>
      <c r="C34" s="16" t="s">
        <v>156</v>
      </c>
      <c r="D34" s="45"/>
      <c r="E34" s="185">
        <v>6719.98</v>
      </c>
      <c r="F34" s="185">
        <v>12870.67</v>
      </c>
      <c r="G34" s="42">
        <v>20000</v>
      </c>
      <c r="H34" s="42">
        <v>20000</v>
      </c>
      <c r="I34" s="42">
        <v>12870.67</v>
      </c>
      <c r="J34" s="8">
        <f t="shared" si="30"/>
        <v>297.61993339265894</v>
      </c>
      <c r="K34" s="98">
        <f t="shared" si="21"/>
        <v>100</v>
      </c>
      <c r="L34" s="103">
        <v>11</v>
      </c>
      <c r="M34" s="77">
        <v>11</v>
      </c>
      <c r="N34" s="76">
        <v>11</v>
      </c>
      <c r="O34" s="76">
        <v>11</v>
      </c>
      <c r="P34" s="102">
        <v>11</v>
      </c>
      <c r="Q34" s="74" t="s">
        <v>567</v>
      </c>
      <c r="R34" s="74" t="s">
        <v>567</v>
      </c>
      <c r="S34" s="74" t="s">
        <v>567</v>
      </c>
      <c r="T34" s="74" t="s">
        <v>567</v>
      </c>
      <c r="U34" s="74" t="s">
        <v>567</v>
      </c>
    </row>
    <row r="35" spans="1:23" s="43" customFormat="1" ht="16.5" customHeight="1" x14ac:dyDescent="0.25">
      <c r="A35" s="15">
        <v>25</v>
      </c>
      <c r="B35" s="15">
        <v>3131117</v>
      </c>
      <c r="C35" s="16" t="s">
        <v>157</v>
      </c>
      <c r="D35" s="45"/>
      <c r="E35" s="185"/>
      <c r="F35" s="185"/>
      <c r="G35" s="42"/>
      <c r="H35" s="42"/>
      <c r="I35" s="42"/>
      <c r="J35" s="8">
        <f t="shared" si="30"/>
        <v>0</v>
      </c>
      <c r="K35" s="98">
        <f t="shared" si="21"/>
        <v>0</v>
      </c>
      <c r="L35" s="103">
        <v>41</v>
      </c>
      <c r="M35" s="77">
        <v>41</v>
      </c>
      <c r="N35" s="76">
        <v>41</v>
      </c>
      <c r="O35" s="76">
        <v>41</v>
      </c>
      <c r="P35" s="102">
        <v>41</v>
      </c>
      <c r="Q35" s="74" t="s">
        <v>567</v>
      </c>
      <c r="R35" s="74" t="s">
        <v>567</v>
      </c>
      <c r="S35" s="74" t="s">
        <v>567</v>
      </c>
      <c r="T35" s="74" t="s">
        <v>567</v>
      </c>
      <c r="U35" s="74" t="s">
        <v>567</v>
      </c>
    </row>
    <row r="36" spans="1:23" s="43" customFormat="1" ht="14.25" customHeight="1" x14ac:dyDescent="0.25">
      <c r="A36" s="15"/>
      <c r="B36" s="15">
        <v>3131120</v>
      </c>
      <c r="C36" s="16" t="s">
        <v>500</v>
      </c>
      <c r="D36" s="45"/>
      <c r="E36" s="185">
        <v>13188.95</v>
      </c>
      <c r="F36" s="185">
        <v>15954.79</v>
      </c>
      <c r="G36" s="42">
        <v>33000</v>
      </c>
      <c r="H36" s="42">
        <v>16000</v>
      </c>
      <c r="I36" s="42">
        <v>15954.79</v>
      </c>
      <c r="J36" s="8">
        <f t="shared" si="30"/>
        <v>121.31367546317182</v>
      </c>
      <c r="K36" s="98">
        <f t="shared" si="21"/>
        <v>48.484848484848484</v>
      </c>
      <c r="L36" s="103">
        <v>41</v>
      </c>
      <c r="M36" s="77">
        <v>41</v>
      </c>
      <c r="N36" s="76">
        <v>41</v>
      </c>
      <c r="O36" s="76">
        <v>41</v>
      </c>
      <c r="P36" s="102">
        <v>41</v>
      </c>
      <c r="Q36" s="74" t="s">
        <v>703</v>
      </c>
      <c r="R36" s="74" t="s">
        <v>703</v>
      </c>
      <c r="S36" s="74" t="s">
        <v>703</v>
      </c>
      <c r="T36" s="74" t="s">
        <v>703</v>
      </c>
      <c r="U36" s="74" t="s">
        <v>703</v>
      </c>
    </row>
    <row r="37" spans="1:23" s="43" customFormat="1" ht="14.25" customHeight="1" x14ac:dyDescent="0.25">
      <c r="A37" s="15">
        <v>28</v>
      </c>
      <c r="B37" s="15">
        <v>313111</v>
      </c>
      <c r="C37" s="16" t="s">
        <v>158</v>
      </c>
      <c r="D37" s="45"/>
      <c r="E37" s="185">
        <v>2239.96</v>
      </c>
      <c r="F37" s="185">
        <v>4293.24</v>
      </c>
      <c r="G37" s="42">
        <v>9000</v>
      </c>
      <c r="H37" s="42">
        <v>9000</v>
      </c>
      <c r="I37" s="42">
        <v>4293.24</v>
      </c>
      <c r="J37" s="8">
        <f t="shared" si="30"/>
        <v>401.79288915873502</v>
      </c>
      <c r="K37" s="98">
        <f t="shared" si="21"/>
        <v>100</v>
      </c>
      <c r="L37" s="103">
        <v>11</v>
      </c>
      <c r="M37" s="77">
        <v>11</v>
      </c>
      <c r="N37" s="76">
        <v>11</v>
      </c>
      <c r="O37" s="76">
        <v>11</v>
      </c>
      <c r="P37" s="102">
        <v>11</v>
      </c>
      <c r="Q37" s="74" t="s">
        <v>567</v>
      </c>
      <c r="R37" s="74" t="s">
        <v>567</v>
      </c>
      <c r="S37" s="74" t="s">
        <v>567</v>
      </c>
      <c r="T37" s="74" t="s">
        <v>567</v>
      </c>
      <c r="U37" s="74" t="s">
        <v>567</v>
      </c>
      <c r="V37" s="33"/>
      <c r="W37" s="33"/>
    </row>
    <row r="38" spans="1:23" s="33" customFormat="1" x14ac:dyDescent="0.25">
      <c r="A38" s="15">
        <v>33</v>
      </c>
      <c r="B38" s="15">
        <v>313117</v>
      </c>
      <c r="C38" s="16" t="s">
        <v>159</v>
      </c>
      <c r="D38" s="45"/>
      <c r="E38" s="185"/>
      <c r="F38" s="185"/>
      <c r="G38" s="42"/>
      <c r="H38" s="42"/>
      <c r="I38" s="42"/>
      <c r="J38" s="8">
        <f t="shared" si="30"/>
        <v>0</v>
      </c>
      <c r="K38" s="98">
        <f t="shared" si="21"/>
        <v>0</v>
      </c>
      <c r="L38" s="103">
        <v>41</v>
      </c>
      <c r="M38" s="77">
        <v>41</v>
      </c>
      <c r="N38" s="76">
        <v>41</v>
      </c>
      <c r="O38" s="76">
        <v>41</v>
      </c>
      <c r="P38" s="102">
        <v>41</v>
      </c>
      <c r="Q38" s="74" t="s">
        <v>567</v>
      </c>
      <c r="R38" s="74" t="s">
        <v>567</v>
      </c>
      <c r="S38" s="74" t="s">
        <v>567</v>
      </c>
      <c r="T38" s="74" t="s">
        <v>567</v>
      </c>
      <c r="U38" s="74" t="s">
        <v>567</v>
      </c>
      <c r="V38" s="41"/>
      <c r="W38" s="41"/>
    </row>
    <row r="39" spans="1:23" s="41" customFormat="1" x14ac:dyDescent="0.25">
      <c r="A39" s="15"/>
      <c r="B39" s="15">
        <v>313120</v>
      </c>
      <c r="C39" s="16" t="s">
        <v>736</v>
      </c>
      <c r="D39" s="45"/>
      <c r="E39" s="185">
        <v>2529.67</v>
      </c>
      <c r="F39" s="185">
        <v>3078.29</v>
      </c>
      <c r="G39" s="42">
        <v>4000</v>
      </c>
      <c r="H39" s="42">
        <v>3100</v>
      </c>
      <c r="I39" s="42">
        <v>3078.29</v>
      </c>
      <c r="J39" s="8">
        <f t="shared" si="30"/>
        <v>122.54562848118529</v>
      </c>
      <c r="K39" s="98">
        <f t="shared" si="21"/>
        <v>77.5</v>
      </c>
      <c r="L39" s="103">
        <v>41</v>
      </c>
      <c r="M39" s="77">
        <v>41</v>
      </c>
      <c r="N39" s="76">
        <v>41</v>
      </c>
      <c r="O39" s="76">
        <v>41</v>
      </c>
      <c r="P39" s="102">
        <v>41</v>
      </c>
      <c r="Q39" s="74" t="s">
        <v>703</v>
      </c>
      <c r="R39" s="74" t="s">
        <v>703</v>
      </c>
      <c r="S39" s="74" t="s">
        <v>703</v>
      </c>
      <c r="T39" s="74" t="s">
        <v>703</v>
      </c>
      <c r="U39" s="74" t="s">
        <v>703</v>
      </c>
      <c r="V39" s="43"/>
      <c r="W39" s="43"/>
    </row>
    <row r="40" spans="1:23" s="43" customFormat="1" x14ac:dyDescent="0.25">
      <c r="A40" s="37"/>
      <c r="B40" s="37">
        <v>3132</v>
      </c>
      <c r="C40" s="38" t="s">
        <v>160</v>
      </c>
      <c r="D40" s="39">
        <f t="shared" ref="D40:I40" si="35">SUM(D41:D43)</f>
        <v>0</v>
      </c>
      <c r="E40" s="184">
        <f>SUM(E41:E43)</f>
        <v>20359.75</v>
      </c>
      <c r="F40" s="184">
        <f t="shared" ref="F40" si="36">SUM(F41:F43)</f>
        <v>29870.04</v>
      </c>
      <c r="G40" s="39">
        <f t="shared" si="35"/>
        <v>67000</v>
      </c>
      <c r="H40" s="39">
        <f>SUM(H41:H43)</f>
        <v>35800</v>
      </c>
      <c r="I40" s="39">
        <f t="shared" si="35"/>
        <v>29870.04</v>
      </c>
      <c r="J40" s="8">
        <f t="shared" si="30"/>
        <v>175.83712963076658</v>
      </c>
      <c r="K40" s="98">
        <f t="shared" si="21"/>
        <v>53.432835820895519</v>
      </c>
      <c r="L40" s="103"/>
      <c r="M40" s="77"/>
      <c r="N40" s="76"/>
      <c r="O40" s="76"/>
      <c r="P40" s="102"/>
      <c r="Q40" s="74"/>
      <c r="R40" s="74"/>
      <c r="S40" s="74"/>
      <c r="T40" s="113"/>
      <c r="U40" s="113"/>
    </row>
    <row r="41" spans="1:23" s="43" customFormat="1" x14ac:dyDescent="0.25">
      <c r="A41" s="15">
        <v>36</v>
      </c>
      <c r="B41" s="15">
        <v>313211</v>
      </c>
      <c r="C41" s="16" t="s">
        <v>161</v>
      </c>
      <c r="D41" s="45"/>
      <c r="E41" s="185">
        <v>7391.91</v>
      </c>
      <c r="F41" s="185">
        <v>14167.77</v>
      </c>
      <c r="G41" s="42">
        <v>20000</v>
      </c>
      <c r="H41" s="42">
        <v>20000</v>
      </c>
      <c r="I41" s="42">
        <v>14167.77</v>
      </c>
      <c r="J41" s="8">
        <f t="shared" si="30"/>
        <v>270.56606479245551</v>
      </c>
      <c r="K41" s="98">
        <f t="shared" si="21"/>
        <v>100</v>
      </c>
      <c r="L41" s="103">
        <v>11</v>
      </c>
      <c r="M41" s="77">
        <v>11</v>
      </c>
      <c r="N41" s="76">
        <v>11</v>
      </c>
      <c r="O41" s="76">
        <v>11</v>
      </c>
      <c r="P41" s="102">
        <v>11</v>
      </c>
      <c r="Q41" s="74" t="s">
        <v>567</v>
      </c>
      <c r="R41" s="74" t="s">
        <v>567</v>
      </c>
      <c r="S41" s="74" t="s">
        <v>567</v>
      </c>
      <c r="T41" s="74" t="s">
        <v>567</v>
      </c>
      <c r="U41" s="74" t="s">
        <v>567</v>
      </c>
    </row>
    <row r="42" spans="1:23" s="43" customFormat="1" x14ac:dyDescent="0.25">
      <c r="A42" s="15">
        <v>42</v>
      </c>
      <c r="B42" s="15">
        <v>313217</v>
      </c>
      <c r="C42" s="16" t="s">
        <v>162</v>
      </c>
      <c r="D42" s="45"/>
      <c r="E42" s="185"/>
      <c r="F42" s="185"/>
      <c r="G42" s="42"/>
      <c r="H42" s="42"/>
      <c r="I42" s="42"/>
      <c r="J42" s="8">
        <f t="shared" si="30"/>
        <v>0</v>
      </c>
      <c r="K42" s="98">
        <f t="shared" si="21"/>
        <v>0</v>
      </c>
      <c r="L42" s="103">
        <v>41</v>
      </c>
      <c r="M42" s="77">
        <v>41</v>
      </c>
      <c r="N42" s="76">
        <v>41</v>
      </c>
      <c r="O42" s="76">
        <v>41</v>
      </c>
      <c r="P42" s="102">
        <v>41</v>
      </c>
      <c r="Q42" s="74" t="s">
        <v>567</v>
      </c>
      <c r="R42" s="74" t="s">
        <v>567</v>
      </c>
      <c r="S42" s="74" t="s">
        <v>567</v>
      </c>
      <c r="T42" s="74" t="s">
        <v>567</v>
      </c>
      <c r="U42" s="74" t="s">
        <v>567</v>
      </c>
      <c r="V42" s="41"/>
      <c r="W42" s="41"/>
    </row>
    <row r="43" spans="1:23" s="41" customFormat="1" x14ac:dyDescent="0.25">
      <c r="A43" s="15"/>
      <c r="B43" s="20">
        <v>313220</v>
      </c>
      <c r="C43" s="21" t="s">
        <v>737</v>
      </c>
      <c r="D43" s="155"/>
      <c r="E43" s="185">
        <v>12967.84</v>
      </c>
      <c r="F43" s="185">
        <v>15702.27</v>
      </c>
      <c r="G43" s="42">
        <v>47000</v>
      </c>
      <c r="H43" s="42">
        <v>15800</v>
      </c>
      <c r="I43" s="42">
        <v>15702.27</v>
      </c>
      <c r="J43" s="8">
        <f t="shared" si="30"/>
        <v>121.83987464373402</v>
      </c>
      <c r="K43" s="98">
        <f t="shared" si="21"/>
        <v>33.617021276595743</v>
      </c>
      <c r="L43" s="103">
        <v>41</v>
      </c>
      <c r="M43" s="77">
        <v>41</v>
      </c>
      <c r="N43" s="76">
        <v>41</v>
      </c>
      <c r="O43" s="76">
        <v>41</v>
      </c>
      <c r="P43" s="102">
        <v>41</v>
      </c>
      <c r="Q43" s="74" t="s">
        <v>703</v>
      </c>
      <c r="R43" s="74" t="s">
        <v>703</v>
      </c>
      <c r="S43" s="74" t="s">
        <v>703</v>
      </c>
      <c r="T43" s="74" t="s">
        <v>703</v>
      </c>
      <c r="U43" s="74" t="s">
        <v>703</v>
      </c>
      <c r="V43" s="43"/>
      <c r="W43" s="43"/>
    </row>
    <row r="44" spans="1:23" s="43" customFormat="1" x14ac:dyDescent="0.25">
      <c r="A44" s="6"/>
      <c r="B44" s="6">
        <v>32</v>
      </c>
      <c r="C44" s="10" t="s">
        <v>163</v>
      </c>
      <c r="D44" s="8">
        <f t="shared" ref="D44:I44" si="37">SUM(D45+D64+D92+D177+D175)</f>
        <v>0</v>
      </c>
      <c r="E44" s="182">
        <f t="shared" ref="E44:F44" si="38">SUM(E45+E64+E92+E177+E175)</f>
        <v>390930.28000000009</v>
      </c>
      <c r="F44" s="182">
        <f t="shared" si="38"/>
        <v>995759.59999999986</v>
      </c>
      <c r="G44" s="8">
        <f t="shared" si="37"/>
        <v>1330500</v>
      </c>
      <c r="H44" s="8">
        <f t="shared" si="37"/>
        <v>1227600</v>
      </c>
      <c r="I44" s="8">
        <f t="shared" si="37"/>
        <v>995759.59999999986</v>
      </c>
      <c r="J44" s="8">
        <f t="shared" si="30"/>
        <v>314.02018794757976</v>
      </c>
      <c r="K44" s="98">
        <f t="shared" si="21"/>
        <v>92.266065388951517</v>
      </c>
      <c r="L44" s="103"/>
      <c r="M44" s="77"/>
      <c r="N44" s="76"/>
      <c r="O44" s="76"/>
      <c r="P44" s="102"/>
      <c r="Q44" s="74"/>
      <c r="R44" s="74"/>
      <c r="S44" s="74"/>
      <c r="T44" s="113"/>
      <c r="U44" s="113"/>
    </row>
    <row r="45" spans="1:23" s="43" customFormat="1" x14ac:dyDescent="0.25">
      <c r="A45" s="11"/>
      <c r="B45" s="11">
        <v>321</v>
      </c>
      <c r="C45" s="12" t="s">
        <v>164</v>
      </c>
      <c r="D45" s="13">
        <f t="shared" ref="D45:I45" si="39">SUM(D46+D52+D55+D60)</f>
        <v>0</v>
      </c>
      <c r="E45" s="186">
        <f>SUM(E46+E52+E55+E60)</f>
        <v>4433.29</v>
      </c>
      <c r="F45" s="186">
        <f t="shared" ref="F45" si="40">SUM(F46+F52+F55+F60)</f>
        <v>10126.35</v>
      </c>
      <c r="G45" s="13">
        <f t="shared" si="39"/>
        <v>29000</v>
      </c>
      <c r="H45" s="13">
        <f>SUM(H46+H52+H55+H60)</f>
        <v>20600</v>
      </c>
      <c r="I45" s="13">
        <f t="shared" si="39"/>
        <v>10126.35</v>
      </c>
      <c r="J45" s="8">
        <f t="shared" si="30"/>
        <v>464.66619598537432</v>
      </c>
      <c r="K45" s="98">
        <f t="shared" si="21"/>
        <v>71.034482758620683</v>
      </c>
      <c r="L45" s="103"/>
      <c r="M45" s="77"/>
      <c r="N45" s="76"/>
      <c r="O45" s="76"/>
      <c r="P45" s="102"/>
      <c r="Q45" s="74"/>
      <c r="R45" s="74"/>
      <c r="S45" s="74"/>
      <c r="T45" s="113"/>
      <c r="U45" s="113"/>
      <c r="V45" s="41"/>
      <c r="W45" s="41"/>
    </row>
    <row r="46" spans="1:23" s="41" customFormat="1" x14ac:dyDescent="0.25">
      <c r="A46" s="37"/>
      <c r="B46" s="37">
        <v>3211</v>
      </c>
      <c r="C46" s="38" t="s">
        <v>165</v>
      </c>
      <c r="D46" s="39">
        <f t="shared" ref="D46:I46" si="41">SUM(D47:D51)</f>
        <v>0</v>
      </c>
      <c r="E46" s="184">
        <f>SUM(E47:E51)</f>
        <v>215.15</v>
      </c>
      <c r="F46" s="184">
        <f t="shared" ref="F46" si="42">SUM(F47:F51)</f>
        <v>773.63</v>
      </c>
      <c r="G46" s="39">
        <f t="shared" si="41"/>
        <v>3500</v>
      </c>
      <c r="H46" s="39">
        <f>SUM(H47:H51)</f>
        <v>3000</v>
      </c>
      <c r="I46" s="39">
        <f t="shared" si="41"/>
        <v>773.63</v>
      </c>
      <c r="J46" s="8">
        <f t="shared" si="30"/>
        <v>1394.3760167325122</v>
      </c>
      <c r="K46" s="98">
        <f t="shared" si="21"/>
        <v>85.714285714285708</v>
      </c>
      <c r="L46" s="103"/>
      <c r="M46" s="77"/>
      <c r="N46" s="76"/>
      <c r="O46" s="76"/>
      <c r="P46" s="102"/>
      <c r="Q46" s="74"/>
      <c r="R46" s="74"/>
      <c r="S46" s="74"/>
      <c r="T46" s="112"/>
      <c r="U46" s="112"/>
      <c r="V46" s="43"/>
      <c r="W46" s="43"/>
    </row>
    <row r="47" spans="1:23" s="43" customFormat="1" x14ac:dyDescent="0.25">
      <c r="A47" s="15">
        <v>45</v>
      </c>
      <c r="B47" s="15">
        <v>32111</v>
      </c>
      <c r="C47" s="16" t="s">
        <v>166</v>
      </c>
      <c r="D47" s="45"/>
      <c r="E47" s="185">
        <v>92.95</v>
      </c>
      <c r="F47" s="185">
        <v>318.64999999999998</v>
      </c>
      <c r="G47" s="42">
        <v>1000</v>
      </c>
      <c r="H47" s="42">
        <v>500</v>
      </c>
      <c r="I47" s="42">
        <v>318.64999999999998</v>
      </c>
      <c r="J47" s="8">
        <f t="shared" si="30"/>
        <v>537.92361484669175</v>
      </c>
      <c r="K47" s="98">
        <f t="shared" si="21"/>
        <v>50</v>
      </c>
      <c r="L47" s="103">
        <v>11</v>
      </c>
      <c r="M47" s="77">
        <v>11</v>
      </c>
      <c r="N47" s="76">
        <v>11</v>
      </c>
      <c r="O47" s="76">
        <v>11</v>
      </c>
      <c r="P47" s="102">
        <v>11</v>
      </c>
      <c r="Q47" s="74" t="s">
        <v>567</v>
      </c>
      <c r="R47" s="74" t="s">
        <v>567</v>
      </c>
      <c r="S47" s="74" t="s">
        <v>567</v>
      </c>
      <c r="T47" s="74" t="s">
        <v>567</v>
      </c>
      <c r="U47" s="74" t="s">
        <v>567</v>
      </c>
    </row>
    <row r="48" spans="1:23" s="43" customFormat="1" x14ac:dyDescent="0.25">
      <c r="A48" s="15">
        <v>46</v>
      </c>
      <c r="B48" s="15">
        <v>32112</v>
      </c>
      <c r="C48" s="16" t="s">
        <v>167</v>
      </c>
      <c r="D48" s="45"/>
      <c r="E48" s="185"/>
      <c r="F48" s="185"/>
      <c r="G48" s="42"/>
      <c r="H48" s="42"/>
      <c r="I48" s="42"/>
      <c r="J48" s="8">
        <f t="shared" si="30"/>
        <v>0</v>
      </c>
      <c r="K48" s="98">
        <f t="shared" si="21"/>
        <v>0</v>
      </c>
      <c r="L48" s="103"/>
      <c r="M48" s="77"/>
      <c r="N48" s="76"/>
      <c r="O48" s="76"/>
      <c r="P48" s="102"/>
      <c r="Q48" s="74"/>
      <c r="R48" s="74"/>
      <c r="S48" s="74"/>
      <c r="T48" s="113"/>
      <c r="U48" s="113"/>
    </row>
    <row r="49" spans="1:23" s="43" customFormat="1" x14ac:dyDescent="0.25">
      <c r="A49" s="15">
        <v>47</v>
      </c>
      <c r="B49" s="15">
        <v>32113</v>
      </c>
      <c r="C49" s="16" t="s">
        <v>168</v>
      </c>
      <c r="D49" s="45"/>
      <c r="E49" s="185"/>
      <c r="F49" s="185"/>
      <c r="G49" s="42">
        <v>500</v>
      </c>
      <c r="H49" s="42">
        <v>1500</v>
      </c>
      <c r="I49" s="42"/>
      <c r="J49" s="8">
        <f t="shared" si="30"/>
        <v>0</v>
      </c>
      <c r="K49" s="98">
        <f t="shared" si="21"/>
        <v>300</v>
      </c>
      <c r="L49" s="103">
        <v>11</v>
      </c>
      <c r="M49" s="77">
        <v>11</v>
      </c>
      <c r="N49" s="76">
        <v>11</v>
      </c>
      <c r="O49" s="76">
        <v>11</v>
      </c>
      <c r="P49" s="102">
        <v>11</v>
      </c>
      <c r="Q49" s="74" t="s">
        <v>567</v>
      </c>
      <c r="R49" s="74" t="s">
        <v>567</v>
      </c>
      <c r="S49" s="74" t="s">
        <v>567</v>
      </c>
      <c r="T49" s="74" t="s">
        <v>567</v>
      </c>
      <c r="U49" s="74" t="s">
        <v>567</v>
      </c>
      <c r="V49" s="41"/>
      <c r="W49" s="41"/>
    </row>
    <row r="50" spans="1:23" s="41" customFormat="1" x14ac:dyDescent="0.25">
      <c r="A50" s="15">
        <v>48</v>
      </c>
      <c r="B50" s="20">
        <v>32115</v>
      </c>
      <c r="C50" s="21" t="s">
        <v>169</v>
      </c>
      <c r="D50" s="155"/>
      <c r="E50" s="185"/>
      <c r="F50" s="185"/>
      <c r="G50" s="42">
        <v>500</v>
      </c>
      <c r="H50" s="42"/>
      <c r="I50" s="42"/>
      <c r="J50" s="8">
        <f t="shared" si="30"/>
        <v>0</v>
      </c>
      <c r="K50" s="98">
        <f t="shared" si="21"/>
        <v>0</v>
      </c>
      <c r="L50" s="103">
        <v>11</v>
      </c>
      <c r="M50" s="77">
        <v>11</v>
      </c>
      <c r="N50" s="76">
        <v>11</v>
      </c>
      <c r="O50" s="76">
        <v>11</v>
      </c>
      <c r="P50" s="102">
        <v>11</v>
      </c>
      <c r="Q50" s="74" t="s">
        <v>567</v>
      </c>
      <c r="R50" s="74" t="s">
        <v>567</v>
      </c>
      <c r="S50" s="74" t="s">
        <v>567</v>
      </c>
      <c r="T50" s="74" t="s">
        <v>567</v>
      </c>
      <c r="U50" s="74" t="s">
        <v>567</v>
      </c>
      <c r="V50" s="43"/>
      <c r="W50" s="43"/>
    </row>
    <row r="51" spans="1:23" s="43" customFormat="1" x14ac:dyDescent="0.25">
      <c r="A51" s="15">
        <v>49</v>
      </c>
      <c r="B51" s="20">
        <v>32119</v>
      </c>
      <c r="C51" s="21" t="s">
        <v>170</v>
      </c>
      <c r="D51" s="155"/>
      <c r="E51" s="185">
        <v>122.2</v>
      </c>
      <c r="F51" s="185">
        <v>454.98</v>
      </c>
      <c r="G51" s="42">
        <v>1500</v>
      </c>
      <c r="H51" s="42">
        <v>1000</v>
      </c>
      <c r="I51" s="42">
        <v>454.98</v>
      </c>
      <c r="J51" s="8">
        <f t="shared" si="30"/>
        <v>818.33060556464807</v>
      </c>
      <c r="K51" s="98">
        <f t="shared" si="21"/>
        <v>66.666666666666657</v>
      </c>
      <c r="L51" s="103">
        <v>11</v>
      </c>
      <c r="M51" s="77">
        <v>11</v>
      </c>
      <c r="N51" s="76">
        <v>11</v>
      </c>
      <c r="O51" s="76">
        <v>11</v>
      </c>
      <c r="P51" s="102">
        <v>11</v>
      </c>
      <c r="Q51" s="74" t="s">
        <v>567</v>
      </c>
      <c r="R51" s="74" t="s">
        <v>567</v>
      </c>
      <c r="S51" s="74" t="s">
        <v>567</v>
      </c>
      <c r="T51" s="74" t="s">
        <v>567</v>
      </c>
      <c r="U51" s="74" t="s">
        <v>567</v>
      </c>
    </row>
    <row r="52" spans="1:23" s="43" customFormat="1" x14ac:dyDescent="0.25">
      <c r="A52" s="37"/>
      <c r="B52" s="37">
        <v>3212</v>
      </c>
      <c r="C52" s="38" t="s">
        <v>171</v>
      </c>
      <c r="D52" s="39">
        <f t="shared" ref="D52:I52" si="43">SUM(D53:D54)</f>
        <v>0</v>
      </c>
      <c r="E52" s="184">
        <f>SUM(E53:E54)</f>
        <v>221.8</v>
      </c>
      <c r="F52" s="184">
        <f t="shared" ref="F52" si="44">SUM(F53:F54)</f>
        <v>520.46</v>
      </c>
      <c r="G52" s="39">
        <f t="shared" si="43"/>
        <v>1500</v>
      </c>
      <c r="H52" s="39">
        <f>SUM(H53:H54)</f>
        <v>600</v>
      </c>
      <c r="I52" s="39">
        <f t="shared" si="43"/>
        <v>520.46</v>
      </c>
      <c r="J52" s="8">
        <f t="shared" si="30"/>
        <v>270.51397655545537</v>
      </c>
      <c r="K52" s="98">
        <f t="shared" si="21"/>
        <v>40</v>
      </c>
      <c r="L52" s="103"/>
      <c r="M52" s="77"/>
      <c r="N52" s="76"/>
      <c r="O52" s="76"/>
      <c r="P52" s="102"/>
      <c r="Q52" s="74"/>
      <c r="R52" s="74"/>
      <c r="S52" s="74"/>
      <c r="T52" s="113"/>
      <c r="U52" s="113"/>
      <c r="V52" s="36"/>
      <c r="W52" s="36"/>
    </row>
    <row r="53" spans="1:23" s="36" customFormat="1" x14ac:dyDescent="0.25">
      <c r="A53" s="15">
        <v>50</v>
      </c>
      <c r="B53" s="20">
        <v>32121</v>
      </c>
      <c r="C53" s="21" t="s">
        <v>172</v>
      </c>
      <c r="D53" s="155"/>
      <c r="E53" s="185">
        <v>221.8</v>
      </c>
      <c r="F53" s="185">
        <v>520.46</v>
      </c>
      <c r="G53" s="42">
        <v>1500</v>
      </c>
      <c r="H53" s="42">
        <v>600</v>
      </c>
      <c r="I53" s="42">
        <v>520.46</v>
      </c>
      <c r="J53" s="8">
        <f t="shared" si="30"/>
        <v>270.51397655545537</v>
      </c>
      <c r="K53" s="98">
        <f t="shared" si="21"/>
        <v>40</v>
      </c>
      <c r="L53" s="103">
        <v>11</v>
      </c>
      <c r="M53" s="77">
        <v>11</v>
      </c>
      <c r="N53" s="76">
        <v>11</v>
      </c>
      <c r="O53" s="76">
        <v>11</v>
      </c>
      <c r="P53" s="102">
        <v>11</v>
      </c>
      <c r="Q53" s="74" t="s">
        <v>567</v>
      </c>
      <c r="R53" s="74" t="s">
        <v>567</v>
      </c>
      <c r="S53" s="74" t="s">
        <v>567</v>
      </c>
      <c r="T53" s="74" t="s">
        <v>567</v>
      </c>
      <c r="U53" s="74" t="s">
        <v>567</v>
      </c>
    </row>
    <row r="54" spans="1:23" s="36" customFormat="1" x14ac:dyDescent="0.25">
      <c r="A54" s="15"/>
      <c r="B54" s="20">
        <v>321212</v>
      </c>
      <c r="C54" s="21" t="s">
        <v>545</v>
      </c>
      <c r="D54" s="155"/>
      <c r="E54" s="185"/>
      <c r="F54" s="185"/>
      <c r="G54" s="42"/>
      <c r="H54" s="42"/>
      <c r="I54" s="42"/>
      <c r="J54" s="8"/>
      <c r="K54" s="98">
        <f t="shared" si="21"/>
        <v>0</v>
      </c>
      <c r="L54" s="103">
        <v>41</v>
      </c>
      <c r="M54" s="77">
        <v>41</v>
      </c>
      <c r="N54" s="76">
        <v>41</v>
      </c>
      <c r="O54" s="76">
        <v>41</v>
      </c>
      <c r="P54" s="102">
        <v>41</v>
      </c>
      <c r="Q54" s="74" t="s">
        <v>703</v>
      </c>
      <c r="R54" s="74" t="s">
        <v>703</v>
      </c>
      <c r="S54" s="74" t="s">
        <v>703</v>
      </c>
      <c r="T54" s="74" t="s">
        <v>703</v>
      </c>
      <c r="U54" s="74" t="s">
        <v>703</v>
      </c>
      <c r="V54" s="43"/>
      <c r="W54" s="43"/>
    </row>
    <row r="55" spans="1:23" s="43" customFormat="1" x14ac:dyDescent="0.25">
      <c r="A55" s="37"/>
      <c r="B55" s="37">
        <v>3213</v>
      </c>
      <c r="C55" s="38" t="s">
        <v>173</v>
      </c>
      <c r="D55" s="39">
        <f t="shared" ref="D55:I55" si="45">SUM(D56:D59)</f>
        <v>0</v>
      </c>
      <c r="E55" s="184">
        <f>SUM(E56:E59)</f>
        <v>401.54</v>
      </c>
      <c r="F55" s="184">
        <f t="shared" ref="F55" si="46">SUM(F56:F59)</f>
        <v>1121.44</v>
      </c>
      <c r="G55" s="39">
        <f t="shared" si="45"/>
        <v>14500</v>
      </c>
      <c r="H55" s="39">
        <f>SUM(H56:H59)</f>
        <v>5500</v>
      </c>
      <c r="I55" s="39">
        <f t="shared" si="45"/>
        <v>1121.44</v>
      </c>
      <c r="J55" s="8">
        <f>IFERROR(SUM(H55/E55),0)*100</f>
        <v>1369.7265527718282</v>
      </c>
      <c r="K55" s="98">
        <f t="shared" si="21"/>
        <v>37.931034482758619</v>
      </c>
      <c r="L55" s="103"/>
      <c r="M55" s="77"/>
      <c r="N55" s="76"/>
      <c r="O55" s="76"/>
      <c r="P55" s="102"/>
      <c r="Q55" s="74"/>
      <c r="R55" s="74"/>
      <c r="S55" s="74"/>
      <c r="T55" s="113"/>
      <c r="U55" s="113"/>
    </row>
    <row r="56" spans="1:23" s="43" customFormat="1" x14ac:dyDescent="0.25">
      <c r="A56" s="15">
        <v>51</v>
      </c>
      <c r="B56" s="20">
        <v>32131</v>
      </c>
      <c r="C56" s="21" t="s">
        <v>174</v>
      </c>
      <c r="D56" s="155"/>
      <c r="E56" s="185">
        <v>375</v>
      </c>
      <c r="F56" s="185">
        <v>1094.9000000000001</v>
      </c>
      <c r="G56" s="42">
        <v>5000</v>
      </c>
      <c r="H56" s="42">
        <v>5000</v>
      </c>
      <c r="I56" s="42">
        <v>1094.9000000000001</v>
      </c>
      <c r="J56" s="8">
        <f>IFERROR(SUM(H56/E56),0)*100</f>
        <v>1333.3333333333335</v>
      </c>
      <c r="K56" s="98">
        <f t="shared" si="21"/>
        <v>100</v>
      </c>
      <c r="L56" s="103">
        <v>11</v>
      </c>
      <c r="M56" s="77">
        <v>11</v>
      </c>
      <c r="N56" s="76">
        <v>11</v>
      </c>
      <c r="O56" s="76">
        <v>11</v>
      </c>
      <c r="P56" s="102">
        <v>11</v>
      </c>
      <c r="Q56" s="74" t="s">
        <v>567</v>
      </c>
      <c r="R56" s="74" t="s">
        <v>567</v>
      </c>
      <c r="S56" s="74" t="s">
        <v>567</v>
      </c>
      <c r="T56" s="74" t="s">
        <v>567</v>
      </c>
      <c r="U56" s="74" t="s">
        <v>567</v>
      </c>
    </row>
    <row r="57" spans="1:23" s="43" customFormat="1" x14ac:dyDescent="0.25">
      <c r="A57" s="15"/>
      <c r="B57" s="20"/>
      <c r="C57" s="21" t="s">
        <v>546</v>
      </c>
      <c r="D57" s="155"/>
      <c r="E57" s="185"/>
      <c r="F57" s="185"/>
      <c r="G57" s="42">
        <v>6500</v>
      </c>
      <c r="H57" s="42"/>
      <c r="I57" s="42"/>
      <c r="J57" s="8"/>
      <c r="K57" s="98"/>
      <c r="L57" s="103">
        <v>41</v>
      </c>
      <c r="M57" s="77">
        <v>41</v>
      </c>
      <c r="N57" s="76">
        <v>41</v>
      </c>
      <c r="O57" s="76">
        <v>41</v>
      </c>
      <c r="P57" s="102">
        <v>41</v>
      </c>
      <c r="Q57" s="74" t="s">
        <v>703</v>
      </c>
      <c r="R57" s="74" t="s">
        <v>703</v>
      </c>
      <c r="S57" s="74" t="s">
        <v>703</v>
      </c>
      <c r="T57" s="74" t="s">
        <v>703</v>
      </c>
      <c r="U57" s="74" t="s">
        <v>703</v>
      </c>
    </row>
    <row r="58" spans="1:23" s="43" customFormat="1" x14ac:dyDescent="0.25">
      <c r="A58" s="20"/>
      <c r="B58" s="20"/>
      <c r="C58" s="21" t="s">
        <v>877</v>
      </c>
      <c r="D58" s="155"/>
      <c r="E58" s="185"/>
      <c r="F58" s="185"/>
      <c r="G58" s="42">
        <v>1000</v>
      </c>
      <c r="H58" s="42"/>
      <c r="I58" s="42"/>
      <c r="J58" s="8"/>
      <c r="K58" s="98"/>
      <c r="L58" s="103">
        <v>11</v>
      </c>
      <c r="M58" s="77">
        <v>11</v>
      </c>
      <c r="N58" s="76">
        <v>11</v>
      </c>
      <c r="O58" s="76">
        <v>11</v>
      </c>
      <c r="P58" s="102">
        <v>11</v>
      </c>
      <c r="Q58" s="74" t="s">
        <v>603</v>
      </c>
      <c r="R58" s="74" t="s">
        <v>603</v>
      </c>
      <c r="S58" s="74" t="s">
        <v>603</v>
      </c>
      <c r="T58" s="74" t="s">
        <v>603</v>
      </c>
      <c r="U58" s="74" t="s">
        <v>603</v>
      </c>
    </row>
    <row r="59" spans="1:23" s="43" customFormat="1" x14ac:dyDescent="0.25">
      <c r="A59" s="15"/>
      <c r="B59" s="20">
        <v>32132</v>
      </c>
      <c r="C59" s="21" t="s">
        <v>784</v>
      </c>
      <c r="D59" s="155"/>
      <c r="E59" s="185">
        <v>26.54</v>
      </c>
      <c r="F59" s="185">
        <v>26.54</v>
      </c>
      <c r="G59" s="42">
        <v>2000</v>
      </c>
      <c r="H59" s="42">
        <v>500</v>
      </c>
      <c r="I59" s="42">
        <v>26.54</v>
      </c>
      <c r="J59" s="8"/>
      <c r="K59" s="98"/>
      <c r="L59" s="103">
        <v>11</v>
      </c>
      <c r="M59" s="77">
        <v>11</v>
      </c>
      <c r="N59" s="76">
        <v>11</v>
      </c>
      <c r="O59" s="76">
        <v>11</v>
      </c>
      <c r="P59" s="102">
        <v>11</v>
      </c>
      <c r="Q59" s="74" t="s">
        <v>567</v>
      </c>
      <c r="R59" s="74" t="s">
        <v>567</v>
      </c>
      <c r="S59" s="74" t="s">
        <v>567</v>
      </c>
      <c r="T59" s="74" t="s">
        <v>567</v>
      </c>
      <c r="U59" s="74" t="s">
        <v>567</v>
      </c>
    </row>
    <row r="60" spans="1:23" s="43" customFormat="1" x14ac:dyDescent="0.25">
      <c r="A60" s="37"/>
      <c r="B60" s="37">
        <v>3214</v>
      </c>
      <c r="C60" s="38" t="s">
        <v>175</v>
      </c>
      <c r="D60" s="39">
        <f t="shared" ref="D60:I60" si="47">SUM(D61:D63)</f>
        <v>0</v>
      </c>
      <c r="E60" s="184">
        <f>SUM(E61:E63)</f>
        <v>3594.8</v>
      </c>
      <c r="F60" s="184">
        <f t="shared" ref="F60" si="48">SUM(F61:F63)</f>
        <v>7710.82</v>
      </c>
      <c r="G60" s="39">
        <f t="shared" si="47"/>
        <v>9500</v>
      </c>
      <c r="H60" s="39">
        <f>SUM(H61:H63)</f>
        <v>11500</v>
      </c>
      <c r="I60" s="39">
        <f t="shared" si="47"/>
        <v>7710.82</v>
      </c>
      <c r="J60" s="8">
        <f t="shared" ref="J60:J71" si="49">IFERROR(SUM(H60/E60),0)*100</f>
        <v>319.90653165683767</v>
      </c>
      <c r="K60" s="98">
        <f t="shared" si="21"/>
        <v>121.05263157894737</v>
      </c>
      <c r="L60" s="103"/>
      <c r="M60" s="77"/>
      <c r="N60" s="76"/>
      <c r="O60" s="76"/>
      <c r="P60" s="102"/>
      <c r="Q60" s="74"/>
      <c r="R60" s="74"/>
      <c r="S60" s="74"/>
      <c r="T60" s="113"/>
      <c r="U60" s="113"/>
    </row>
    <row r="61" spans="1:23" s="43" customFormat="1" x14ac:dyDescent="0.25">
      <c r="A61" s="15">
        <v>52</v>
      </c>
      <c r="B61" s="15">
        <v>321411</v>
      </c>
      <c r="C61" s="16" t="s">
        <v>176</v>
      </c>
      <c r="D61" s="45"/>
      <c r="E61" s="185">
        <v>1604</v>
      </c>
      <c r="F61" s="185">
        <v>4006.2</v>
      </c>
      <c r="G61" s="42">
        <v>7000</v>
      </c>
      <c r="H61" s="42">
        <v>7000</v>
      </c>
      <c r="I61" s="42">
        <v>4006.2</v>
      </c>
      <c r="J61" s="8">
        <f t="shared" si="49"/>
        <v>436.40897755610968</v>
      </c>
      <c r="K61" s="98">
        <f t="shared" si="21"/>
        <v>100</v>
      </c>
      <c r="L61" s="103">
        <v>11</v>
      </c>
      <c r="M61" s="77">
        <v>11</v>
      </c>
      <c r="N61" s="76">
        <v>11</v>
      </c>
      <c r="O61" s="76">
        <v>11</v>
      </c>
      <c r="P61" s="102">
        <v>11</v>
      </c>
      <c r="Q61" s="74" t="s">
        <v>567</v>
      </c>
      <c r="R61" s="74" t="s">
        <v>567</v>
      </c>
      <c r="S61" s="74" t="s">
        <v>567</v>
      </c>
      <c r="T61" s="74" t="s">
        <v>567</v>
      </c>
      <c r="U61" s="74" t="s">
        <v>567</v>
      </c>
    </row>
    <row r="62" spans="1:23" s="43" customFormat="1" x14ac:dyDescent="0.25">
      <c r="A62" s="15"/>
      <c r="B62" s="15">
        <v>321413</v>
      </c>
      <c r="C62" s="16" t="s">
        <v>547</v>
      </c>
      <c r="D62" s="45"/>
      <c r="E62" s="185"/>
      <c r="F62" s="185"/>
      <c r="G62" s="42">
        <v>2000</v>
      </c>
      <c r="H62" s="42"/>
      <c r="I62" s="42"/>
      <c r="J62" s="8">
        <f t="shared" si="49"/>
        <v>0</v>
      </c>
      <c r="K62" s="98">
        <f t="shared" si="21"/>
        <v>0</v>
      </c>
      <c r="L62" s="103">
        <v>41</v>
      </c>
      <c r="M62" s="77">
        <v>41</v>
      </c>
      <c r="N62" s="76">
        <v>41</v>
      </c>
      <c r="O62" s="76">
        <v>41</v>
      </c>
      <c r="P62" s="102">
        <v>41</v>
      </c>
      <c r="Q62" s="74" t="s">
        <v>703</v>
      </c>
      <c r="R62" s="74" t="s">
        <v>703</v>
      </c>
      <c r="S62" s="74" t="s">
        <v>703</v>
      </c>
      <c r="T62" s="74" t="s">
        <v>703</v>
      </c>
      <c r="U62" s="74" t="s">
        <v>703</v>
      </c>
    </row>
    <row r="63" spans="1:23" s="43" customFormat="1" x14ac:dyDescent="0.25">
      <c r="A63" s="15">
        <v>55</v>
      </c>
      <c r="B63" s="15">
        <v>32149</v>
      </c>
      <c r="C63" s="16" t="s">
        <v>177</v>
      </c>
      <c r="D63" s="45"/>
      <c r="E63" s="185">
        <v>1990.8</v>
      </c>
      <c r="F63" s="185">
        <v>3704.62</v>
      </c>
      <c r="G63" s="42">
        <v>500</v>
      </c>
      <c r="H63" s="42">
        <v>4500</v>
      </c>
      <c r="I63" s="42">
        <v>3704.62</v>
      </c>
      <c r="J63" s="8">
        <f t="shared" si="49"/>
        <v>226.03978300180833</v>
      </c>
      <c r="K63" s="98">
        <f t="shared" si="21"/>
        <v>900</v>
      </c>
      <c r="L63" s="103">
        <v>11</v>
      </c>
      <c r="M63" s="77">
        <v>11</v>
      </c>
      <c r="N63" s="76">
        <v>11</v>
      </c>
      <c r="O63" s="76">
        <v>11</v>
      </c>
      <c r="P63" s="102">
        <v>11</v>
      </c>
      <c r="Q63" s="74" t="s">
        <v>567</v>
      </c>
      <c r="R63" s="74" t="s">
        <v>567</v>
      </c>
      <c r="S63" s="74" t="s">
        <v>567</v>
      </c>
      <c r="T63" s="74" t="s">
        <v>567</v>
      </c>
      <c r="U63" s="74" t="s">
        <v>567</v>
      </c>
    </row>
    <row r="64" spans="1:23" s="43" customFormat="1" x14ac:dyDescent="0.25">
      <c r="A64" s="11"/>
      <c r="B64" s="11">
        <v>322</v>
      </c>
      <c r="C64" s="12" t="s">
        <v>178</v>
      </c>
      <c r="D64" s="35">
        <f t="shared" ref="D64:I64" si="50">SUM(D65+D75+D83+D87+D90)</f>
        <v>0</v>
      </c>
      <c r="E64" s="183">
        <f t="shared" ref="E64:F64" si="51">SUM(E65+E75+E83+E87+E90)</f>
        <v>53242.85</v>
      </c>
      <c r="F64" s="183">
        <f t="shared" si="51"/>
        <v>108847.98</v>
      </c>
      <c r="G64" s="35">
        <f t="shared" si="50"/>
        <v>140500</v>
      </c>
      <c r="H64" s="35">
        <f t="shared" si="50"/>
        <v>135300</v>
      </c>
      <c r="I64" s="35">
        <f t="shared" si="50"/>
        <v>108847.98</v>
      </c>
      <c r="J64" s="8">
        <f t="shared" si="49"/>
        <v>254.11862813504538</v>
      </c>
      <c r="K64" s="98">
        <f t="shared" si="21"/>
        <v>96.29893238434164</v>
      </c>
      <c r="L64" s="103"/>
      <c r="M64" s="77"/>
      <c r="N64" s="76"/>
      <c r="O64" s="76"/>
      <c r="P64" s="102"/>
      <c r="Q64" s="74"/>
      <c r="R64" s="74"/>
      <c r="S64" s="74"/>
      <c r="T64" s="113"/>
      <c r="U64" s="113"/>
    </row>
    <row r="65" spans="1:23" s="43" customFormat="1" x14ac:dyDescent="0.25">
      <c r="A65" s="37"/>
      <c r="B65" s="37">
        <v>3221</v>
      </c>
      <c r="C65" s="38" t="s">
        <v>179</v>
      </c>
      <c r="D65" s="40">
        <f>SUM(D66:D73)</f>
        <v>0</v>
      </c>
      <c r="E65" s="187">
        <f>SUM(E66:E74)</f>
        <v>11923.6</v>
      </c>
      <c r="F65" s="187">
        <f>SUM(F66:F74)</f>
        <v>20368.190000000002</v>
      </c>
      <c r="G65" s="40">
        <f>SUM(G66:G74)</f>
        <v>28500</v>
      </c>
      <c r="H65" s="40">
        <f>SUM(H66:H74)</f>
        <v>28800</v>
      </c>
      <c r="I65" s="40">
        <f>SUM(I66:I74)</f>
        <v>20368.190000000002</v>
      </c>
      <c r="J65" s="8">
        <f t="shared" si="49"/>
        <v>241.5377906001543</v>
      </c>
      <c r="K65" s="98">
        <f t="shared" si="21"/>
        <v>101.05263157894737</v>
      </c>
      <c r="L65" s="103"/>
      <c r="M65" s="77"/>
      <c r="N65" s="76"/>
      <c r="O65" s="76"/>
      <c r="P65" s="102"/>
      <c r="Q65" s="74"/>
      <c r="R65" s="74"/>
      <c r="S65" s="74"/>
      <c r="T65" s="113"/>
      <c r="U65" s="113"/>
    </row>
    <row r="66" spans="1:23" s="43" customFormat="1" x14ac:dyDescent="0.25">
      <c r="A66" s="15">
        <v>56</v>
      </c>
      <c r="B66" s="15">
        <v>32211</v>
      </c>
      <c r="C66" s="16" t="s">
        <v>180</v>
      </c>
      <c r="D66" s="45"/>
      <c r="E66" s="185">
        <v>1382.85</v>
      </c>
      <c r="F66" s="185">
        <v>1817.53</v>
      </c>
      <c r="G66" s="42">
        <v>4000</v>
      </c>
      <c r="H66" s="42">
        <v>2500</v>
      </c>
      <c r="I66" s="42">
        <v>1817.53</v>
      </c>
      <c r="J66" s="8">
        <f t="shared" si="49"/>
        <v>180.78605777922408</v>
      </c>
      <c r="K66" s="98">
        <f t="shared" ref="K66:K120" si="52">IFERROR(SUM(H66/G66),0)*100</f>
        <v>62.5</v>
      </c>
      <c r="L66" s="103">
        <v>11</v>
      </c>
      <c r="M66" s="77">
        <v>11</v>
      </c>
      <c r="N66" s="76">
        <v>11</v>
      </c>
      <c r="O66" s="76">
        <v>11</v>
      </c>
      <c r="P66" s="102">
        <v>11</v>
      </c>
      <c r="Q66" s="74" t="s">
        <v>563</v>
      </c>
      <c r="R66" s="74" t="s">
        <v>563</v>
      </c>
      <c r="S66" s="74" t="s">
        <v>563</v>
      </c>
      <c r="T66" s="113" t="s">
        <v>563</v>
      </c>
      <c r="U66" s="113" t="s">
        <v>563</v>
      </c>
      <c r="V66" s="41"/>
      <c r="W66" s="41"/>
    </row>
    <row r="67" spans="1:23" s="41" customFormat="1" x14ac:dyDescent="0.25">
      <c r="A67" s="15">
        <v>57</v>
      </c>
      <c r="B67" s="15">
        <v>32212</v>
      </c>
      <c r="C67" s="16" t="s">
        <v>181</v>
      </c>
      <c r="D67" s="45"/>
      <c r="E67" s="185">
        <v>796.08</v>
      </c>
      <c r="F67" s="185">
        <v>1010.48</v>
      </c>
      <c r="G67" s="42">
        <v>2000</v>
      </c>
      <c r="H67" s="42">
        <v>1300</v>
      </c>
      <c r="I67" s="42">
        <v>1010.48</v>
      </c>
      <c r="J67" s="8">
        <f t="shared" si="49"/>
        <v>163.3001708371018</v>
      </c>
      <c r="K67" s="98">
        <f t="shared" si="52"/>
        <v>65</v>
      </c>
      <c r="L67" s="103">
        <v>11</v>
      </c>
      <c r="M67" s="77">
        <v>11</v>
      </c>
      <c r="N67" s="76">
        <v>11</v>
      </c>
      <c r="O67" s="76">
        <v>11</v>
      </c>
      <c r="P67" s="102">
        <v>11</v>
      </c>
      <c r="Q67" s="74" t="s">
        <v>563</v>
      </c>
      <c r="R67" s="74" t="s">
        <v>563</v>
      </c>
      <c r="S67" s="74" t="s">
        <v>563</v>
      </c>
      <c r="T67" s="113" t="s">
        <v>563</v>
      </c>
      <c r="U67" s="113" t="s">
        <v>563</v>
      </c>
      <c r="V67" s="43"/>
      <c r="W67" s="43"/>
    </row>
    <row r="68" spans="1:23" s="43" customFormat="1" x14ac:dyDescent="0.25">
      <c r="A68" s="15">
        <v>60</v>
      </c>
      <c r="B68" s="15">
        <v>32214</v>
      </c>
      <c r="C68" s="16" t="s">
        <v>182</v>
      </c>
      <c r="D68" s="45"/>
      <c r="E68" s="185">
        <v>271.13</v>
      </c>
      <c r="F68" s="185">
        <v>955.7</v>
      </c>
      <c r="G68" s="42">
        <v>3000</v>
      </c>
      <c r="H68" s="42">
        <v>1300</v>
      </c>
      <c r="I68" s="42">
        <v>955.7</v>
      </c>
      <c r="J68" s="8">
        <f t="shared" si="49"/>
        <v>479.47479069081254</v>
      </c>
      <c r="K68" s="98">
        <f t="shared" si="52"/>
        <v>43.333333333333336</v>
      </c>
      <c r="L68" s="103">
        <v>11</v>
      </c>
      <c r="M68" s="77">
        <v>11</v>
      </c>
      <c r="N68" s="76">
        <v>11</v>
      </c>
      <c r="O68" s="76">
        <v>11</v>
      </c>
      <c r="P68" s="102">
        <v>11</v>
      </c>
      <c r="Q68" s="74" t="s">
        <v>563</v>
      </c>
      <c r="R68" s="74" t="s">
        <v>563</v>
      </c>
      <c r="S68" s="74" t="s">
        <v>563</v>
      </c>
      <c r="T68" s="113" t="s">
        <v>563</v>
      </c>
      <c r="U68" s="113" t="s">
        <v>563</v>
      </c>
    </row>
    <row r="69" spans="1:23" s="43" customFormat="1" x14ac:dyDescent="0.25">
      <c r="A69" s="15">
        <v>61</v>
      </c>
      <c r="B69" s="15">
        <v>32215</v>
      </c>
      <c r="C69" s="16" t="s">
        <v>183</v>
      </c>
      <c r="D69" s="45"/>
      <c r="E69" s="185">
        <v>740.1</v>
      </c>
      <c r="F69" s="185">
        <v>1177.3</v>
      </c>
      <c r="G69" s="42">
        <v>2000</v>
      </c>
      <c r="H69" s="42">
        <v>2000</v>
      </c>
      <c r="I69" s="42">
        <v>1177.3</v>
      </c>
      <c r="J69" s="8">
        <f t="shared" si="49"/>
        <v>270.23375219564923</v>
      </c>
      <c r="K69" s="98">
        <f t="shared" si="52"/>
        <v>100</v>
      </c>
      <c r="L69" s="103">
        <v>11</v>
      </c>
      <c r="M69" s="77">
        <v>11</v>
      </c>
      <c r="N69" s="76">
        <v>11</v>
      </c>
      <c r="O69" s="76">
        <v>11</v>
      </c>
      <c r="P69" s="102">
        <v>11</v>
      </c>
      <c r="Q69" s="74" t="s">
        <v>563</v>
      </c>
      <c r="R69" s="74" t="s">
        <v>563</v>
      </c>
      <c r="S69" s="74" t="s">
        <v>563</v>
      </c>
      <c r="T69" s="113" t="s">
        <v>563</v>
      </c>
      <c r="U69" s="113" t="s">
        <v>563</v>
      </c>
    </row>
    <row r="70" spans="1:23" s="43" customFormat="1" x14ac:dyDescent="0.25">
      <c r="A70" s="15">
        <v>62</v>
      </c>
      <c r="B70" s="15">
        <v>32216</v>
      </c>
      <c r="C70" s="16" t="s">
        <v>184</v>
      </c>
      <c r="D70" s="45"/>
      <c r="E70" s="185">
        <v>1182</v>
      </c>
      <c r="F70" s="185">
        <v>1182</v>
      </c>
      <c r="G70" s="42">
        <v>500</v>
      </c>
      <c r="H70" s="42">
        <v>1500</v>
      </c>
      <c r="I70" s="42">
        <v>1182</v>
      </c>
      <c r="J70" s="8">
        <f t="shared" si="49"/>
        <v>126.90355329949239</v>
      </c>
      <c r="K70" s="98">
        <f t="shared" si="52"/>
        <v>300</v>
      </c>
      <c r="L70" s="103">
        <v>11</v>
      </c>
      <c r="M70" s="77">
        <v>11</v>
      </c>
      <c r="N70" s="76">
        <v>11</v>
      </c>
      <c r="O70" s="76">
        <v>11</v>
      </c>
      <c r="P70" s="102">
        <v>11</v>
      </c>
      <c r="Q70" s="74" t="s">
        <v>563</v>
      </c>
      <c r="R70" s="74" t="s">
        <v>563</v>
      </c>
      <c r="S70" s="74" t="s">
        <v>563</v>
      </c>
      <c r="T70" s="113" t="s">
        <v>563</v>
      </c>
      <c r="U70" s="113" t="s">
        <v>563</v>
      </c>
    </row>
    <row r="71" spans="1:23" s="43" customFormat="1" x14ac:dyDescent="0.25">
      <c r="A71" s="15">
        <v>63</v>
      </c>
      <c r="B71" s="15">
        <v>322191</v>
      </c>
      <c r="C71" s="16" t="s">
        <v>185</v>
      </c>
      <c r="D71" s="45"/>
      <c r="E71" s="185">
        <v>4418.32</v>
      </c>
      <c r="F71" s="185">
        <v>10460.18</v>
      </c>
      <c r="G71" s="42">
        <v>7000</v>
      </c>
      <c r="H71" s="42">
        <v>13000</v>
      </c>
      <c r="I71" s="42">
        <v>10460.18</v>
      </c>
      <c r="J71" s="8">
        <f t="shared" si="49"/>
        <v>294.2294808886636</v>
      </c>
      <c r="K71" s="98">
        <f t="shared" si="52"/>
        <v>185.71428571428572</v>
      </c>
      <c r="L71" s="103">
        <v>11</v>
      </c>
      <c r="M71" s="77">
        <v>11</v>
      </c>
      <c r="N71" s="76">
        <v>11</v>
      </c>
      <c r="O71" s="76">
        <v>11</v>
      </c>
      <c r="P71" s="102">
        <v>11</v>
      </c>
      <c r="Q71" s="74" t="s">
        <v>563</v>
      </c>
      <c r="R71" s="74" t="s">
        <v>563</v>
      </c>
      <c r="S71" s="74" t="s">
        <v>563</v>
      </c>
      <c r="T71" s="113" t="s">
        <v>563</v>
      </c>
      <c r="U71" s="113" t="s">
        <v>563</v>
      </c>
    </row>
    <row r="72" spans="1:23" s="43" customFormat="1" x14ac:dyDescent="0.25">
      <c r="A72" s="15"/>
      <c r="B72" s="15">
        <v>322192</v>
      </c>
      <c r="C72" s="16" t="s">
        <v>878</v>
      </c>
      <c r="D72" s="45"/>
      <c r="E72" s="185">
        <v>70.12</v>
      </c>
      <c r="F72" s="185"/>
      <c r="G72" s="42"/>
      <c r="H72" s="42"/>
      <c r="I72" s="42"/>
      <c r="J72" s="8"/>
      <c r="K72" s="98"/>
      <c r="L72" s="103">
        <v>11</v>
      </c>
      <c r="M72" s="77">
        <v>11</v>
      </c>
      <c r="N72" s="76">
        <v>11</v>
      </c>
      <c r="O72" s="76">
        <v>11</v>
      </c>
      <c r="P72" s="102">
        <v>11</v>
      </c>
      <c r="Q72" s="74" t="s">
        <v>563</v>
      </c>
      <c r="R72" s="74" t="s">
        <v>563</v>
      </c>
      <c r="S72" s="74" t="s">
        <v>563</v>
      </c>
      <c r="T72" s="113" t="s">
        <v>563</v>
      </c>
      <c r="U72" s="113" t="s">
        <v>563</v>
      </c>
    </row>
    <row r="73" spans="1:23" s="43" customFormat="1" x14ac:dyDescent="0.25">
      <c r="A73" s="15"/>
      <c r="B73" s="15">
        <v>322193</v>
      </c>
      <c r="C73" s="16" t="s">
        <v>548</v>
      </c>
      <c r="D73" s="45"/>
      <c r="E73" s="185">
        <v>3063</v>
      </c>
      <c r="F73" s="185">
        <v>3063</v>
      </c>
      <c r="G73" s="42">
        <v>10000</v>
      </c>
      <c r="H73" s="42">
        <v>6000</v>
      </c>
      <c r="I73" s="42">
        <v>3063</v>
      </c>
      <c r="J73" s="8">
        <f>IFERROR(SUM(H73/E73),0)*100</f>
        <v>195.88638589618023</v>
      </c>
      <c r="K73" s="98">
        <f t="shared" si="52"/>
        <v>60</v>
      </c>
      <c r="L73" s="103">
        <v>41</v>
      </c>
      <c r="M73" s="77">
        <v>41</v>
      </c>
      <c r="N73" s="76">
        <v>41</v>
      </c>
      <c r="O73" s="76">
        <v>41</v>
      </c>
      <c r="P73" s="102">
        <v>41</v>
      </c>
      <c r="Q73" s="74" t="s">
        <v>703</v>
      </c>
      <c r="R73" s="74" t="s">
        <v>703</v>
      </c>
      <c r="S73" s="74" t="s">
        <v>703</v>
      </c>
      <c r="T73" s="113" t="s">
        <v>703</v>
      </c>
      <c r="U73" s="113" t="s">
        <v>703</v>
      </c>
    </row>
    <row r="74" spans="1:23" s="43" customFormat="1" x14ac:dyDescent="0.25">
      <c r="A74" s="15"/>
      <c r="B74" s="15">
        <v>322194</v>
      </c>
      <c r="C74" s="16" t="s">
        <v>964</v>
      </c>
      <c r="D74" s="45"/>
      <c r="E74" s="185"/>
      <c r="F74" s="185">
        <v>702</v>
      </c>
      <c r="G74" s="42"/>
      <c r="H74" s="42">
        <v>1200</v>
      </c>
      <c r="I74" s="42">
        <v>702</v>
      </c>
      <c r="J74" s="8"/>
      <c r="K74" s="98"/>
      <c r="L74" s="103">
        <v>11</v>
      </c>
      <c r="M74" s="77">
        <v>11</v>
      </c>
      <c r="N74" s="76">
        <v>11</v>
      </c>
      <c r="O74" s="76">
        <v>11</v>
      </c>
      <c r="P74" s="102">
        <v>11</v>
      </c>
      <c r="Q74" s="74" t="s">
        <v>683</v>
      </c>
      <c r="R74" s="74" t="s">
        <v>683</v>
      </c>
      <c r="S74" s="74" t="s">
        <v>683</v>
      </c>
      <c r="T74" s="74" t="s">
        <v>683</v>
      </c>
      <c r="U74" s="74" t="s">
        <v>683</v>
      </c>
    </row>
    <row r="75" spans="1:23" s="43" customFormat="1" ht="30" customHeight="1" x14ac:dyDescent="0.25">
      <c r="A75" s="37"/>
      <c r="B75" s="37">
        <v>3223</v>
      </c>
      <c r="C75" s="38" t="s">
        <v>187</v>
      </c>
      <c r="D75" s="39">
        <f t="shared" ref="D75:I75" si="53">SUM(D76:D82)</f>
        <v>0</v>
      </c>
      <c r="E75" s="184">
        <f>SUM(E76:E82)</f>
        <v>37676.949999999997</v>
      </c>
      <c r="F75" s="184">
        <f t="shared" ref="F75" si="54">SUM(F76:F82)</f>
        <v>82059.87</v>
      </c>
      <c r="G75" s="39">
        <f t="shared" si="53"/>
        <v>92500</v>
      </c>
      <c r="H75" s="39">
        <f>SUM(H76:H82)</f>
        <v>94500</v>
      </c>
      <c r="I75" s="39">
        <f t="shared" si="53"/>
        <v>82059.87</v>
      </c>
      <c r="J75" s="8">
        <f>IFERROR(SUM(H75/E75),0)*100</f>
        <v>250.81648063338463</v>
      </c>
      <c r="K75" s="98">
        <f t="shared" si="52"/>
        <v>102.16216216216216</v>
      </c>
      <c r="L75" s="103"/>
      <c r="M75" s="77"/>
      <c r="N75" s="76"/>
      <c r="O75" s="76"/>
      <c r="P75" s="102"/>
      <c r="Q75" s="74"/>
      <c r="R75" s="74"/>
      <c r="S75" s="74"/>
      <c r="T75" s="113"/>
      <c r="U75" s="113"/>
    </row>
    <row r="76" spans="1:23" s="43" customFormat="1" ht="30" customHeight="1" x14ac:dyDescent="0.25">
      <c r="A76" s="15">
        <v>67</v>
      </c>
      <c r="B76" s="15">
        <v>322311</v>
      </c>
      <c r="C76" s="16" t="s">
        <v>188</v>
      </c>
      <c r="D76" s="45"/>
      <c r="E76" s="185">
        <v>12316.46</v>
      </c>
      <c r="F76" s="185">
        <v>31765.32</v>
      </c>
      <c r="G76" s="42">
        <v>34000</v>
      </c>
      <c r="H76" s="42">
        <v>34000</v>
      </c>
      <c r="I76" s="42">
        <v>31765.32</v>
      </c>
      <c r="J76" s="8">
        <f>IFERROR(SUM(H76/E76),0)*100</f>
        <v>276.053346497289</v>
      </c>
      <c r="K76" s="98">
        <f t="shared" si="52"/>
        <v>100</v>
      </c>
      <c r="L76" s="103">
        <v>11</v>
      </c>
      <c r="M76" s="77">
        <v>11</v>
      </c>
      <c r="N76" s="76">
        <v>11</v>
      </c>
      <c r="O76" s="76">
        <v>11</v>
      </c>
      <c r="P76" s="102">
        <v>11</v>
      </c>
      <c r="Q76" s="74" t="s">
        <v>611</v>
      </c>
      <c r="R76" s="74" t="s">
        <v>611</v>
      </c>
      <c r="S76" s="74" t="s">
        <v>611</v>
      </c>
      <c r="T76" s="113" t="s">
        <v>611</v>
      </c>
      <c r="U76" s="113" t="s">
        <v>611</v>
      </c>
    </row>
    <row r="77" spans="1:23" s="43" customFormat="1" ht="15" customHeight="1" x14ac:dyDescent="0.25">
      <c r="A77" s="15">
        <v>68</v>
      </c>
      <c r="B77" s="15">
        <v>322312</v>
      </c>
      <c r="C77" s="16" t="s">
        <v>189</v>
      </c>
      <c r="D77" s="45"/>
      <c r="E77" s="185">
        <v>10208.17</v>
      </c>
      <c r="F77" s="185">
        <v>25175.74</v>
      </c>
      <c r="G77" s="42">
        <v>27000</v>
      </c>
      <c r="H77" s="42">
        <v>27000</v>
      </c>
      <c r="I77" s="42">
        <v>25175.74</v>
      </c>
      <c r="J77" s="17">
        <f>IFERROR(SUM(H77/E77),0)*100</f>
        <v>264.49402782281248</v>
      </c>
      <c r="K77" s="131">
        <f t="shared" si="52"/>
        <v>100</v>
      </c>
      <c r="L77" s="114">
        <v>31</v>
      </c>
      <c r="M77" s="115">
        <v>31</v>
      </c>
      <c r="N77" s="116">
        <v>31</v>
      </c>
      <c r="O77" s="116">
        <v>31</v>
      </c>
      <c r="P77" s="117">
        <v>31</v>
      </c>
      <c r="Q77" s="118" t="s">
        <v>611</v>
      </c>
      <c r="R77" s="118" t="s">
        <v>611</v>
      </c>
      <c r="S77" s="118" t="s">
        <v>611</v>
      </c>
      <c r="T77" s="113" t="s">
        <v>611</v>
      </c>
      <c r="U77" s="113" t="s">
        <v>611</v>
      </c>
    </row>
    <row r="78" spans="1:23" s="43" customFormat="1" ht="15" customHeight="1" x14ac:dyDescent="0.25">
      <c r="A78" s="20"/>
      <c r="B78" s="15">
        <v>322313</v>
      </c>
      <c r="C78" s="16" t="s">
        <v>879</v>
      </c>
      <c r="D78" s="45"/>
      <c r="E78" s="185">
        <v>1120.8699999999999</v>
      </c>
      <c r="F78" s="185">
        <v>3028.91</v>
      </c>
      <c r="G78" s="42">
        <v>1500</v>
      </c>
      <c r="H78" s="42">
        <v>3500</v>
      </c>
      <c r="I78" s="42">
        <v>3028.91</v>
      </c>
      <c r="J78" s="17"/>
      <c r="K78" s="131"/>
      <c r="L78" s="114">
        <v>11</v>
      </c>
      <c r="M78" s="115">
        <v>11</v>
      </c>
      <c r="N78" s="116">
        <v>11</v>
      </c>
      <c r="O78" s="116">
        <v>11</v>
      </c>
      <c r="P78" s="117">
        <v>11</v>
      </c>
      <c r="Q78" s="118" t="s">
        <v>627</v>
      </c>
      <c r="R78" s="118" t="s">
        <v>627</v>
      </c>
      <c r="S78" s="118" t="s">
        <v>627</v>
      </c>
      <c r="T78" s="118" t="s">
        <v>627</v>
      </c>
      <c r="U78" s="118" t="s">
        <v>627</v>
      </c>
    </row>
    <row r="79" spans="1:23" s="254" customFormat="1" ht="15" customHeight="1" x14ac:dyDescent="0.25">
      <c r="A79" s="243"/>
      <c r="B79" s="244">
        <v>322314</v>
      </c>
      <c r="C79" s="16" t="s">
        <v>941</v>
      </c>
      <c r="D79" s="246"/>
      <c r="E79" s="185">
        <v>3324.23</v>
      </c>
      <c r="F79" s="185">
        <v>5837.5</v>
      </c>
      <c r="G79" s="42">
        <v>5000</v>
      </c>
      <c r="H79" s="42">
        <v>7000</v>
      </c>
      <c r="I79" s="42">
        <v>5837.5</v>
      </c>
      <c r="J79" s="188"/>
      <c r="K79" s="247"/>
      <c r="L79" s="103">
        <v>11</v>
      </c>
      <c r="M79" s="77">
        <v>11</v>
      </c>
      <c r="N79" s="76">
        <v>11</v>
      </c>
      <c r="O79" s="76">
        <v>11</v>
      </c>
      <c r="P79" s="102">
        <v>11</v>
      </c>
      <c r="Q79" s="74" t="s">
        <v>611</v>
      </c>
      <c r="R79" s="74" t="s">
        <v>611</v>
      </c>
      <c r="S79" s="74" t="s">
        <v>611</v>
      </c>
      <c r="T79" s="113" t="s">
        <v>611</v>
      </c>
      <c r="U79" s="113" t="s">
        <v>611</v>
      </c>
    </row>
    <row r="80" spans="1:23" s="43" customFormat="1" x14ac:dyDescent="0.25">
      <c r="A80" s="15">
        <v>70</v>
      </c>
      <c r="B80" s="15">
        <v>322331</v>
      </c>
      <c r="C80" s="16" t="s">
        <v>190</v>
      </c>
      <c r="D80" s="45"/>
      <c r="E80" s="185">
        <v>8620.1299999999992</v>
      </c>
      <c r="F80" s="185">
        <v>11608.16</v>
      </c>
      <c r="G80" s="42">
        <v>12000</v>
      </c>
      <c r="H80" s="42">
        <v>17000</v>
      </c>
      <c r="I80" s="42">
        <v>11608.16</v>
      </c>
      <c r="J80" s="8">
        <f>IFERROR(SUM(H80/E80),0)*100</f>
        <v>197.21280305517436</v>
      </c>
      <c r="K80" s="98">
        <f t="shared" si="52"/>
        <v>141.66666666666669</v>
      </c>
      <c r="L80" s="248">
        <v>11</v>
      </c>
      <c r="M80" s="249">
        <v>11</v>
      </c>
      <c r="N80" s="250">
        <v>11</v>
      </c>
      <c r="O80" s="250">
        <v>11</v>
      </c>
      <c r="P80" s="251">
        <v>11</v>
      </c>
      <c r="Q80" s="252" t="s">
        <v>563</v>
      </c>
      <c r="R80" s="252" t="s">
        <v>563</v>
      </c>
      <c r="S80" s="252" t="s">
        <v>563</v>
      </c>
      <c r="T80" s="253" t="s">
        <v>563</v>
      </c>
      <c r="U80" s="253" t="s">
        <v>563</v>
      </c>
    </row>
    <row r="81" spans="1:23" s="43" customFormat="1" x14ac:dyDescent="0.25">
      <c r="A81" s="262"/>
      <c r="B81" s="15">
        <v>322332</v>
      </c>
      <c r="C81" s="16" t="s">
        <v>985</v>
      </c>
      <c r="D81" s="45"/>
      <c r="E81" s="185">
        <v>1096.6099999999999</v>
      </c>
      <c r="F81" s="185">
        <v>1747.9</v>
      </c>
      <c r="G81" s="42"/>
      <c r="H81" s="42">
        <v>2000</v>
      </c>
      <c r="I81" s="42">
        <v>1747.9</v>
      </c>
      <c r="J81" s="17"/>
      <c r="K81" s="131"/>
      <c r="L81" s="263">
        <v>11</v>
      </c>
      <c r="M81" s="264">
        <v>11</v>
      </c>
      <c r="N81" s="265">
        <v>11</v>
      </c>
      <c r="O81" s="265">
        <v>11</v>
      </c>
      <c r="P81" s="266">
        <v>11</v>
      </c>
      <c r="Q81" s="267" t="s">
        <v>669</v>
      </c>
      <c r="R81" s="267" t="s">
        <v>669</v>
      </c>
      <c r="S81" s="267" t="s">
        <v>669</v>
      </c>
      <c r="T81" s="267" t="s">
        <v>669</v>
      </c>
      <c r="U81" s="267" t="s">
        <v>669</v>
      </c>
    </row>
    <row r="82" spans="1:23" s="43" customFormat="1" x14ac:dyDescent="0.25">
      <c r="A82" s="15">
        <v>72</v>
      </c>
      <c r="B82" s="15">
        <v>32234</v>
      </c>
      <c r="C82" s="16" t="s">
        <v>191</v>
      </c>
      <c r="D82" s="45"/>
      <c r="E82" s="185">
        <v>990.48</v>
      </c>
      <c r="F82" s="185">
        <v>2896.34</v>
      </c>
      <c r="G82" s="42">
        <v>13000</v>
      </c>
      <c r="H82" s="42">
        <v>4000</v>
      </c>
      <c r="I82" s="42">
        <v>2896.34</v>
      </c>
      <c r="J82" s="8">
        <f t="shared" ref="J82:J99" si="55">IFERROR(SUM(H82/E82),0)*100</f>
        <v>403.84460059769003</v>
      </c>
      <c r="K82" s="98">
        <f t="shared" si="52"/>
        <v>30.76923076923077</v>
      </c>
      <c r="L82" s="103">
        <v>11</v>
      </c>
      <c r="M82" s="77">
        <v>11</v>
      </c>
      <c r="N82" s="76">
        <v>11</v>
      </c>
      <c r="O82" s="76">
        <v>11</v>
      </c>
      <c r="P82" s="102">
        <v>11</v>
      </c>
      <c r="Q82" s="74" t="s">
        <v>611</v>
      </c>
      <c r="R82" s="74" t="s">
        <v>611</v>
      </c>
      <c r="S82" s="74" t="s">
        <v>611</v>
      </c>
      <c r="T82" s="113" t="s">
        <v>611</v>
      </c>
      <c r="U82" s="113" t="s">
        <v>611</v>
      </c>
      <c r="V82" s="41"/>
      <c r="W82" s="41"/>
    </row>
    <row r="83" spans="1:23" s="41" customFormat="1" ht="31.5" x14ac:dyDescent="0.25">
      <c r="A83" s="37"/>
      <c r="B83" s="37">
        <v>3224</v>
      </c>
      <c r="C83" s="38" t="s">
        <v>192</v>
      </c>
      <c r="D83" s="39">
        <f t="shared" ref="D83:I83" si="56">SUM(D84:D86)</f>
        <v>0</v>
      </c>
      <c r="E83" s="184">
        <f>SUM(E84:E86)</f>
        <v>3642.3</v>
      </c>
      <c r="F83" s="184">
        <f t="shared" ref="F83" si="57">SUM(F84:F86)</f>
        <v>6380.24</v>
      </c>
      <c r="G83" s="39">
        <f t="shared" si="56"/>
        <v>13500</v>
      </c>
      <c r="H83" s="39">
        <f>SUM(H84:H86)</f>
        <v>10500</v>
      </c>
      <c r="I83" s="39">
        <f t="shared" si="56"/>
        <v>6380.24</v>
      </c>
      <c r="J83" s="8">
        <f t="shared" si="55"/>
        <v>288.27938390577378</v>
      </c>
      <c r="K83" s="98">
        <f t="shared" si="52"/>
        <v>77.777777777777786</v>
      </c>
      <c r="L83" s="103"/>
      <c r="M83" s="77"/>
      <c r="N83" s="76"/>
      <c r="O83" s="76"/>
      <c r="P83" s="102"/>
      <c r="Q83" s="74"/>
      <c r="R83" s="74"/>
      <c r="S83" s="74"/>
      <c r="T83" s="112"/>
      <c r="U83" s="112"/>
      <c r="V83" s="43"/>
      <c r="W83" s="43"/>
    </row>
    <row r="84" spans="1:23" s="43" customFormat="1" ht="33" customHeight="1" x14ac:dyDescent="0.25">
      <c r="A84" s="15">
        <v>73</v>
      </c>
      <c r="B84" s="15">
        <v>32241</v>
      </c>
      <c r="C84" s="16" t="s">
        <v>193</v>
      </c>
      <c r="D84" s="45"/>
      <c r="E84" s="185">
        <v>3642.3</v>
      </c>
      <c r="F84" s="185">
        <v>6380.24</v>
      </c>
      <c r="G84" s="42">
        <v>10500</v>
      </c>
      <c r="H84" s="42">
        <v>10500</v>
      </c>
      <c r="I84" s="42">
        <v>6380.24</v>
      </c>
      <c r="J84" s="8">
        <f t="shared" si="55"/>
        <v>288.27938390577378</v>
      </c>
      <c r="K84" s="98">
        <f t="shared" si="52"/>
        <v>100</v>
      </c>
      <c r="L84" s="103">
        <v>11</v>
      </c>
      <c r="M84" s="77">
        <v>11</v>
      </c>
      <c r="N84" s="76">
        <v>11</v>
      </c>
      <c r="O84" s="76">
        <v>11</v>
      </c>
      <c r="P84" s="102">
        <v>11</v>
      </c>
      <c r="Q84" s="74" t="s">
        <v>563</v>
      </c>
      <c r="R84" s="74" t="s">
        <v>563</v>
      </c>
      <c r="S84" s="74" t="s">
        <v>563</v>
      </c>
      <c r="T84" s="113" t="s">
        <v>563</v>
      </c>
      <c r="U84" s="113" t="s">
        <v>563</v>
      </c>
      <c r="V84" s="36"/>
      <c r="W84" s="36"/>
    </row>
    <row r="85" spans="1:23" s="36" customFormat="1" ht="33" customHeight="1" x14ac:dyDescent="0.25">
      <c r="A85" s="15">
        <v>74</v>
      </c>
      <c r="B85" s="15">
        <v>32242</v>
      </c>
      <c r="C85" s="16" t="s">
        <v>194</v>
      </c>
      <c r="D85" s="45"/>
      <c r="E85" s="185"/>
      <c r="F85" s="185"/>
      <c r="G85" s="42">
        <v>2500</v>
      </c>
      <c r="H85" s="42"/>
      <c r="I85" s="42"/>
      <c r="J85" s="8">
        <f t="shared" si="55"/>
        <v>0</v>
      </c>
      <c r="K85" s="98">
        <f t="shared" si="52"/>
        <v>0</v>
      </c>
      <c r="L85" s="103">
        <v>11</v>
      </c>
      <c r="M85" s="77">
        <v>11</v>
      </c>
      <c r="N85" s="76">
        <v>11</v>
      </c>
      <c r="O85" s="76">
        <v>11</v>
      </c>
      <c r="P85" s="102">
        <v>11</v>
      </c>
      <c r="Q85" s="74" t="s">
        <v>563</v>
      </c>
      <c r="R85" s="74" t="s">
        <v>563</v>
      </c>
      <c r="S85" s="74" t="s">
        <v>563</v>
      </c>
      <c r="T85" s="113" t="s">
        <v>563</v>
      </c>
      <c r="U85" s="113" t="s">
        <v>563</v>
      </c>
      <c r="V85" s="43"/>
      <c r="W85" s="43"/>
    </row>
    <row r="86" spans="1:23" s="43" customFormat="1" x14ac:dyDescent="0.25">
      <c r="A86" s="15">
        <v>75</v>
      </c>
      <c r="B86" s="15">
        <v>32244</v>
      </c>
      <c r="C86" s="16" t="s">
        <v>195</v>
      </c>
      <c r="D86" s="45"/>
      <c r="E86" s="185"/>
      <c r="F86" s="185"/>
      <c r="G86" s="42">
        <v>500</v>
      </c>
      <c r="H86" s="42"/>
      <c r="I86" s="42"/>
      <c r="J86" s="8">
        <f t="shared" si="55"/>
        <v>0</v>
      </c>
      <c r="K86" s="98">
        <f t="shared" si="52"/>
        <v>0</v>
      </c>
      <c r="L86" s="103">
        <v>11</v>
      </c>
      <c r="M86" s="77">
        <v>11</v>
      </c>
      <c r="N86" s="76">
        <v>11</v>
      </c>
      <c r="O86" s="76">
        <v>11</v>
      </c>
      <c r="P86" s="102">
        <v>11</v>
      </c>
      <c r="Q86" s="74" t="s">
        <v>563</v>
      </c>
      <c r="R86" s="74" t="s">
        <v>563</v>
      </c>
      <c r="S86" s="74" t="s">
        <v>563</v>
      </c>
      <c r="T86" s="113" t="s">
        <v>563</v>
      </c>
      <c r="U86" s="113" t="s">
        <v>563</v>
      </c>
    </row>
    <row r="87" spans="1:23" s="43" customFormat="1" x14ac:dyDescent="0.25">
      <c r="A87" s="37"/>
      <c r="B87" s="37">
        <v>3225</v>
      </c>
      <c r="C87" s="38" t="s">
        <v>196</v>
      </c>
      <c r="D87" s="39">
        <f t="shared" ref="D87:I87" si="58">SUM(D88:D89)</f>
        <v>0</v>
      </c>
      <c r="E87" s="184">
        <f>SUM(E88:E89)</f>
        <v>0</v>
      </c>
      <c r="F87" s="184">
        <f t="shared" ref="F87" si="59">SUM(F88:F89)</f>
        <v>39.68</v>
      </c>
      <c r="G87" s="39">
        <f t="shared" si="58"/>
        <v>4500</v>
      </c>
      <c r="H87" s="39">
        <f>SUM(H88:H89)</f>
        <v>500</v>
      </c>
      <c r="I87" s="39">
        <f t="shared" si="58"/>
        <v>39.68</v>
      </c>
      <c r="J87" s="8">
        <f t="shared" si="55"/>
        <v>0</v>
      </c>
      <c r="K87" s="98">
        <f t="shared" si="52"/>
        <v>11.111111111111111</v>
      </c>
      <c r="L87" s="103"/>
      <c r="M87" s="77"/>
      <c r="N87" s="76"/>
      <c r="O87" s="76"/>
      <c r="P87" s="102"/>
      <c r="Q87" s="74"/>
      <c r="R87" s="74"/>
      <c r="S87" s="74"/>
      <c r="T87" s="113"/>
      <c r="U87" s="113"/>
    </row>
    <row r="88" spans="1:23" s="43" customFormat="1" x14ac:dyDescent="0.25">
      <c r="A88" s="15">
        <v>76</v>
      </c>
      <c r="B88" s="15">
        <v>32251</v>
      </c>
      <c r="C88" s="16" t="s">
        <v>197</v>
      </c>
      <c r="D88" s="45"/>
      <c r="E88" s="185"/>
      <c r="F88" s="185">
        <v>39.68</v>
      </c>
      <c r="G88" s="42">
        <v>1500</v>
      </c>
      <c r="H88" s="42">
        <v>500</v>
      </c>
      <c r="I88" s="42">
        <v>39.68</v>
      </c>
      <c r="J88" s="8">
        <f t="shared" si="55"/>
        <v>0</v>
      </c>
      <c r="K88" s="98">
        <f t="shared" si="52"/>
        <v>33.333333333333329</v>
      </c>
      <c r="L88" s="103">
        <v>11</v>
      </c>
      <c r="M88" s="77">
        <v>11</v>
      </c>
      <c r="N88" s="76">
        <v>11</v>
      </c>
      <c r="O88" s="76">
        <v>11</v>
      </c>
      <c r="P88" s="102">
        <v>11</v>
      </c>
      <c r="Q88" s="74" t="s">
        <v>563</v>
      </c>
      <c r="R88" s="74" t="s">
        <v>563</v>
      </c>
      <c r="S88" s="74" t="s">
        <v>563</v>
      </c>
      <c r="T88" s="113" t="s">
        <v>563</v>
      </c>
      <c r="U88" s="113" t="s">
        <v>563</v>
      </c>
    </row>
    <row r="89" spans="1:23" s="43" customFormat="1" x14ac:dyDescent="0.25">
      <c r="A89" s="15">
        <v>77</v>
      </c>
      <c r="B89" s="15">
        <v>32252</v>
      </c>
      <c r="C89" s="16" t="s">
        <v>198</v>
      </c>
      <c r="D89" s="45"/>
      <c r="E89" s="185"/>
      <c r="F89" s="185"/>
      <c r="G89" s="42">
        <v>3000</v>
      </c>
      <c r="H89" s="42"/>
      <c r="I89" s="42"/>
      <c r="J89" s="8">
        <f t="shared" si="55"/>
        <v>0</v>
      </c>
      <c r="K89" s="98">
        <f t="shared" si="52"/>
        <v>0</v>
      </c>
      <c r="L89" s="103">
        <v>11</v>
      </c>
      <c r="M89" s="77">
        <v>11</v>
      </c>
      <c r="N89" s="76">
        <v>11</v>
      </c>
      <c r="O89" s="76">
        <v>11</v>
      </c>
      <c r="P89" s="102">
        <v>11</v>
      </c>
      <c r="Q89" s="74" t="s">
        <v>563</v>
      </c>
      <c r="R89" s="74" t="s">
        <v>563</v>
      </c>
      <c r="S89" s="74" t="s">
        <v>563</v>
      </c>
      <c r="T89" s="113" t="s">
        <v>563</v>
      </c>
      <c r="U89" s="113" t="s">
        <v>563</v>
      </c>
      <c r="V89" s="41"/>
      <c r="W89" s="41"/>
    </row>
    <row r="90" spans="1:23" s="41" customFormat="1" x14ac:dyDescent="0.25">
      <c r="A90" s="37"/>
      <c r="B90" s="37">
        <v>3227</v>
      </c>
      <c r="C90" s="38" t="s">
        <v>199</v>
      </c>
      <c r="D90" s="39">
        <f t="shared" ref="D90:I90" si="60">SUM(D91)</f>
        <v>0</v>
      </c>
      <c r="E90" s="184">
        <f t="shared" si="60"/>
        <v>0</v>
      </c>
      <c r="F90" s="184">
        <f t="shared" si="60"/>
        <v>0</v>
      </c>
      <c r="G90" s="39">
        <f t="shared" si="60"/>
        <v>1500</v>
      </c>
      <c r="H90" s="39">
        <f t="shared" si="60"/>
        <v>1000</v>
      </c>
      <c r="I90" s="39">
        <f t="shared" si="60"/>
        <v>0</v>
      </c>
      <c r="J90" s="8">
        <f t="shared" si="55"/>
        <v>0</v>
      </c>
      <c r="K90" s="98">
        <f t="shared" si="52"/>
        <v>66.666666666666657</v>
      </c>
      <c r="L90" s="103"/>
      <c r="M90" s="77"/>
      <c r="N90" s="76"/>
      <c r="O90" s="76"/>
      <c r="P90" s="102"/>
      <c r="Q90" s="74"/>
      <c r="R90" s="74"/>
      <c r="S90" s="74"/>
      <c r="T90" s="112"/>
      <c r="U90" s="112"/>
      <c r="V90" s="43"/>
      <c r="W90" s="43"/>
    </row>
    <row r="91" spans="1:23" s="43" customFormat="1" x14ac:dyDescent="0.25">
      <c r="A91" s="15">
        <v>78</v>
      </c>
      <c r="B91" s="20">
        <v>32271</v>
      </c>
      <c r="C91" s="21" t="s">
        <v>200</v>
      </c>
      <c r="D91" s="155"/>
      <c r="E91" s="185"/>
      <c r="F91" s="185"/>
      <c r="G91" s="42">
        <v>1500</v>
      </c>
      <c r="H91" s="42">
        <v>1000</v>
      </c>
      <c r="I91" s="42"/>
      <c r="J91" s="8">
        <f t="shared" si="55"/>
        <v>0</v>
      </c>
      <c r="K91" s="98">
        <f t="shared" si="52"/>
        <v>66.666666666666657</v>
      </c>
      <c r="L91" s="103">
        <v>11</v>
      </c>
      <c r="M91" s="77">
        <v>11</v>
      </c>
      <c r="N91" s="76">
        <v>11</v>
      </c>
      <c r="O91" s="76">
        <v>11</v>
      </c>
      <c r="P91" s="102">
        <v>11</v>
      </c>
      <c r="Q91" s="74" t="s">
        <v>563</v>
      </c>
      <c r="R91" s="74" t="s">
        <v>563</v>
      </c>
      <c r="S91" s="74" t="s">
        <v>563</v>
      </c>
      <c r="T91" s="113" t="s">
        <v>563</v>
      </c>
      <c r="U91" s="113" t="s">
        <v>563</v>
      </c>
    </row>
    <row r="92" spans="1:23" s="43" customFormat="1" x14ac:dyDescent="0.25">
      <c r="A92" s="11"/>
      <c r="B92" s="11">
        <v>323</v>
      </c>
      <c r="C92" s="12" t="s">
        <v>201</v>
      </c>
      <c r="D92" s="35">
        <f t="shared" ref="D92:I92" si="61">SUM(D98+D93+D118+D122+D141+D143+D147+D156+D160)</f>
        <v>0</v>
      </c>
      <c r="E92" s="183">
        <f t="shared" ref="E92:F92" si="62">SUM(E98+E93+E118+E122+E141+E143+E147+E156+E160)</f>
        <v>313312.58000000007</v>
      </c>
      <c r="F92" s="183">
        <f t="shared" si="62"/>
        <v>780105.39999999991</v>
      </c>
      <c r="G92" s="35">
        <f t="shared" si="61"/>
        <v>1044000</v>
      </c>
      <c r="H92" s="35">
        <f t="shared" si="61"/>
        <v>959700</v>
      </c>
      <c r="I92" s="35">
        <f t="shared" si="61"/>
        <v>780105.39999999991</v>
      </c>
      <c r="J92" s="8">
        <f t="shared" si="55"/>
        <v>306.30752202800147</v>
      </c>
      <c r="K92" s="98">
        <f t="shared" si="52"/>
        <v>91.925287356321832</v>
      </c>
      <c r="L92" s="103"/>
      <c r="M92" s="77"/>
      <c r="N92" s="76"/>
      <c r="O92" s="76"/>
      <c r="P92" s="102"/>
      <c r="Q92" s="74"/>
      <c r="R92" s="74"/>
      <c r="S92" s="74"/>
      <c r="T92" s="113"/>
      <c r="U92" s="113"/>
    </row>
    <row r="93" spans="1:23" s="43" customFormat="1" x14ac:dyDescent="0.25">
      <c r="A93" s="37"/>
      <c r="B93" s="37">
        <v>3231</v>
      </c>
      <c r="C93" s="38" t="s">
        <v>202</v>
      </c>
      <c r="D93" s="39">
        <f t="shared" ref="D93:I93" si="63">SUM(D94:D97)</f>
        <v>0</v>
      </c>
      <c r="E93" s="184">
        <f>SUM(E94:E97)</f>
        <v>4890.3600000000006</v>
      </c>
      <c r="F93" s="184">
        <f t="shared" ref="F93" si="64">SUM(F94:F97)</f>
        <v>18102.560000000001</v>
      </c>
      <c r="G93" s="39">
        <f t="shared" si="63"/>
        <v>25500</v>
      </c>
      <c r="H93" s="39">
        <f>SUM(H94:H97)</f>
        <v>19300</v>
      </c>
      <c r="I93" s="39">
        <f t="shared" si="63"/>
        <v>18102.560000000001</v>
      </c>
      <c r="J93" s="8">
        <f t="shared" si="55"/>
        <v>394.65397230469733</v>
      </c>
      <c r="K93" s="98">
        <f t="shared" si="52"/>
        <v>75.686274509803923</v>
      </c>
      <c r="L93" s="103"/>
      <c r="M93" s="77"/>
      <c r="N93" s="76"/>
      <c r="O93" s="76"/>
      <c r="P93" s="102"/>
      <c r="Q93" s="74"/>
      <c r="R93" s="74"/>
      <c r="S93" s="74"/>
      <c r="T93" s="113"/>
      <c r="U93" s="113"/>
    </row>
    <row r="94" spans="1:23" s="43" customFormat="1" x14ac:dyDescent="0.25">
      <c r="A94" s="15">
        <v>79</v>
      </c>
      <c r="B94" s="15">
        <v>32311</v>
      </c>
      <c r="C94" s="16" t="s">
        <v>203</v>
      </c>
      <c r="D94" s="45"/>
      <c r="E94" s="185">
        <v>2173.4</v>
      </c>
      <c r="F94" s="185">
        <v>5069.59</v>
      </c>
      <c r="G94" s="42">
        <v>3500</v>
      </c>
      <c r="H94" s="42">
        <v>5500</v>
      </c>
      <c r="I94" s="42">
        <v>5069.59</v>
      </c>
      <c r="J94" s="8">
        <f t="shared" si="55"/>
        <v>253.05972209441427</v>
      </c>
      <c r="K94" s="98">
        <f t="shared" si="52"/>
        <v>157.14285714285714</v>
      </c>
      <c r="L94" s="103">
        <v>11</v>
      </c>
      <c r="M94" s="77">
        <v>11</v>
      </c>
      <c r="N94" s="76">
        <v>11</v>
      </c>
      <c r="O94" s="76">
        <v>11</v>
      </c>
      <c r="P94" s="102">
        <v>11</v>
      </c>
      <c r="Q94" s="74" t="s">
        <v>617</v>
      </c>
      <c r="R94" s="74" t="s">
        <v>617</v>
      </c>
      <c r="S94" s="74" t="s">
        <v>617</v>
      </c>
      <c r="T94" s="113" t="s">
        <v>617</v>
      </c>
      <c r="U94" s="113" t="s">
        <v>617</v>
      </c>
    </row>
    <row r="95" spans="1:23" s="43" customFormat="1" x14ac:dyDescent="0.25">
      <c r="A95" s="15">
        <v>80</v>
      </c>
      <c r="B95" s="15">
        <v>32312</v>
      </c>
      <c r="C95" s="16" t="s">
        <v>204</v>
      </c>
      <c r="D95" s="45"/>
      <c r="E95" s="185">
        <v>391.57</v>
      </c>
      <c r="F95" s="185">
        <v>1102.72</v>
      </c>
      <c r="G95" s="42">
        <v>3000</v>
      </c>
      <c r="H95" s="42">
        <v>1300</v>
      </c>
      <c r="I95" s="42">
        <v>1102.72</v>
      </c>
      <c r="J95" s="8">
        <f t="shared" si="55"/>
        <v>331.99683326097505</v>
      </c>
      <c r="K95" s="98">
        <f t="shared" si="52"/>
        <v>43.333333333333336</v>
      </c>
      <c r="L95" s="103">
        <v>11</v>
      </c>
      <c r="M95" s="77">
        <v>11</v>
      </c>
      <c r="N95" s="76">
        <v>11</v>
      </c>
      <c r="O95" s="76">
        <v>11</v>
      </c>
      <c r="P95" s="102">
        <v>11</v>
      </c>
      <c r="Q95" s="74" t="s">
        <v>617</v>
      </c>
      <c r="R95" s="74" t="s">
        <v>617</v>
      </c>
      <c r="S95" s="74" t="s">
        <v>617</v>
      </c>
      <c r="T95" s="113" t="s">
        <v>617</v>
      </c>
      <c r="U95" s="113" t="s">
        <v>617</v>
      </c>
    </row>
    <row r="96" spans="1:23" s="43" customFormat="1" x14ac:dyDescent="0.25">
      <c r="A96" s="15">
        <v>81</v>
      </c>
      <c r="B96" s="15">
        <v>32313</v>
      </c>
      <c r="C96" s="16" t="s">
        <v>205</v>
      </c>
      <c r="D96" s="45"/>
      <c r="E96" s="185">
        <v>372.89</v>
      </c>
      <c r="F96" s="185">
        <v>1107.75</v>
      </c>
      <c r="G96" s="42">
        <v>12000</v>
      </c>
      <c r="H96" s="42">
        <v>1500</v>
      </c>
      <c r="I96" s="42">
        <v>1107.75</v>
      </c>
      <c r="J96" s="8">
        <f t="shared" si="55"/>
        <v>402.26340207567921</v>
      </c>
      <c r="K96" s="98">
        <f t="shared" si="52"/>
        <v>12.5</v>
      </c>
      <c r="L96" s="103">
        <v>11</v>
      </c>
      <c r="M96" s="77">
        <v>11</v>
      </c>
      <c r="N96" s="76">
        <v>11</v>
      </c>
      <c r="O96" s="76">
        <v>11</v>
      </c>
      <c r="P96" s="102">
        <v>11</v>
      </c>
      <c r="Q96" s="74" t="s">
        <v>617</v>
      </c>
      <c r="R96" s="74" t="s">
        <v>617</v>
      </c>
      <c r="S96" s="74" t="s">
        <v>617</v>
      </c>
      <c r="T96" s="113" t="s">
        <v>617</v>
      </c>
      <c r="U96" s="113" t="s">
        <v>617</v>
      </c>
    </row>
    <row r="97" spans="1:21" s="43" customFormat="1" x14ac:dyDescent="0.25">
      <c r="A97" s="15">
        <v>82</v>
      </c>
      <c r="B97" s="15">
        <v>32319</v>
      </c>
      <c r="C97" s="16" t="s">
        <v>206</v>
      </c>
      <c r="D97" s="45"/>
      <c r="E97" s="185">
        <v>1952.5</v>
      </c>
      <c r="F97" s="185">
        <v>10822.5</v>
      </c>
      <c r="G97" s="42">
        <v>7000</v>
      </c>
      <c r="H97" s="42">
        <v>11000</v>
      </c>
      <c r="I97" s="42">
        <v>10822.5</v>
      </c>
      <c r="J97" s="8">
        <f t="shared" si="55"/>
        <v>563.38028169014081</v>
      </c>
      <c r="K97" s="98">
        <f t="shared" si="52"/>
        <v>157.14285714285714</v>
      </c>
      <c r="L97" s="103">
        <v>11</v>
      </c>
      <c r="M97" s="77">
        <v>11</v>
      </c>
      <c r="N97" s="76">
        <v>11</v>
      </c>
      <c r="O97" s="76">
        <v>11</v>
      </c>
      <c r="P97" s="102">
        <v>11</v>
      </c>
      <c r="Q97" s="74" t="s">
        <v>615</v>
      </c>
      <c r="R97" s="74" t="s">
        <v>615</v>
      </c>
      <c r="S97" s="74" t="s">
        <v>615</v>
      </c>
      <c r="T97" s="113" t="s">
        <v>615</v>
      </c>
      <c r="U97" s="113" t="s">
        <v>615</v>
      </c>
    </row>
    <row r="98" spans="1:21" s="43" customFormat="1" x14ac:dyDescent="0.25">
      <c r="A98" s="37"/>
      <c r="B98" s="37">
        <v>3232</v>
      </c>
      <c r="C98" s="38" t="s">
        <v>207</v>
      </c>
      <c r="D98" s="39">
        <f t="shared" ref="D98:I98" si="65">SUM(D99:D117)</f>
        <v>0</v>
      </c>
      <c r="E98" s="184">
        <f t="shared" ref="E98:F98" si="66">SUM(E99:E117)</f>
        <v>47089.36</v>
      </c>
      <c r="F98" s="184">
        <f t="shared" si="66"/>
        <v>118929.35</v>
      </c>
      <c r="G98" s="39">
        <f t="shared" si="65"/>
        <v>452000</v>
      </c>
      <c r="H98" s="39">
        <f t="shared" si="65"/>
        <v>191100</v>
      </c>
      <c r="I98" s="39">
        <f t="shared" si="65"/>
        <v>118929.35</v>
      </c>
      <c r="J98" s="8">
        <f t="shared" si="55"/>
        <v>405.82416070212037</v>
      </c>
      <c r="K98" s="98">
        <f t="shared" si="52"/>
        <v>42.278761061946902</v>
      </c>
      <c r="L98" s="103"/>
      <c r="M98" s="77"/>
      <c r="N98" s="76"/>
      <c r="O98" s="76"/>
      <c r="P98" s="102"/>
      <c r="Q98" s="74"/>
      <c r="R98" s="74"/>
      <c r="S98" s="74"/>
      <c r="T98" s="113"/>
      <c r="U98" s="113"/>
    </row>
    <row r="99" spans="1:21" s="43" customFormat="1" x14ac:dyDescent="0.25">
      <c r="A99" s="15">
        <v>83</v>
      </c>
      <c r="B99" s="15">
        <v>323211</v>
      </c>
      <c r="C99" s="16" t="s">
        <v>96</v>
      </c>
      <c r="D99" s="45"/>
      <c r="E99" s="185">
        <v>22825.16</v>
      </c>
      <c r="F99" s="185">
        <v>34563.1</v>
      </c>
      <c r="G99" s="42">
        <v>150000</v>
      </c>
      <c r="H99" s="42">
        <v>50000</v>
      </c>
      <c r="I99" s="42">
        <v>34563.1</v>
      </c>
      <c r="J99" s="8">
        <f t="shared" si="55"/>
        <v>219.05651482837359</v>
      </c>
      <c r="K99" s="98">
        <f t="shared" si="52"/>
        <v>33.333333333333329</v>
      </c>
      <c r="L99" s="103">
        <v>11</v>
      </c>
      <c r="M99" s="77">
        <v>11</v>
      </c>
      <c r="N99" s="76">
        <v>11</v>
      </c>
      <c r="O99" s="76">
        <v>11</v>
      </c>
      <c r="P99" s="102">
        <v>11</v>
      </c>
      <c r="Q99" s="74" t="s">
        <v>651</v>
      </c>
      <c r="R99" s="74" t="s">
        <v>651</v>
      </c>
      <c r="S99" s="74" t="s">
        <v>651</v>
      </c>
      <c r="T99" s="113" t="s">
        <v>651</v>
      </c>
      <c r="U99" s="113" t="s">
        <v>651</v>
      </c>
    </row>
    <row r="100" spans="1:21" s="43" customFormat="1" x14ac:dyDescent="0.25">
      <c r="A100" s="15"/>
      <c r="B100" s="15">
        <v>3232112</v>
      </c>
      <c r="C100" s="16" t="s">
        <v>965</v>
      </c>
      <c r="D100" s="45"/>
      <c r="E100" s="185"/>
      <c r="F100" s="185"/>
      <c r="G100" s="42"/>
      <c r="H100" s="42"/>
      <c r="I100" s="42"/>
      <c r="J100" s="8"/>
      <c r="K100" s="98"/>
      <c r="L100" s="103">
        <v>11</v>
      </c>
      <c r="M100" s="77">
        <v>11</v>
      </c>
      <c r="N100" s="76">
        <v>11</v>
      </c>
      <c r="O100" s="76">
        <v>11</v>
      </c>
      <c r="P100" s="102">
        <v>11</v>
      </c>
      <c r="Q100" s="74" t="s">
        <v>651</v>
      </c>
      <c r="R100" s="74" t="s">
        <v>651</v>
      </c>
      <c r="S100" s="74" t="s">
        <v>651</v>
      </c>
      <c r="T100" s="113" t="s">
        <v>651</v>
      </c>
      <c r="U100" s="113" t="s">
        <v>651</v>
      </c>
    </row>
    <row r="101" spans="1:21" s="43" customFormat="1" x14ac:dyDescent="0.25">
      <c r="A101" s="15"/>
      <c r="B101" s="15">
        <v>3232113</v>
      </c>
      <c r="C101" s="16" t="s">
        <v>431</v>
      </c>
      <c r="D101" s="45"/>
      <c r="E101" s="185"/>
      <c r="F101" s="185"/>
      <c r="G101" s="42"/>
      <c r="H101" s="42"/>
      <c r="I101" s="42"/>
      <c r="J101" s="8">
        <f t="shared" ref="J101:J123" si="67">IFERROR(SUM(H101/E101),0)*100</f>
        <v>0</v>
      </c>
      <c r="K101" s="98">
        <f t="shared" si="52"/>
        <v>0</v>
      </c>
      <c r="L101" s="103">
        <v>11</v>
      </c>
      <c r="M101" s="77">
        <v>11</v>
      </c>
      <c r="N101" s="76">
        <v>11</v>
      </c>
      <c r="O101" s="76">
        <v>11</v>
      </c>
      <c r="P101" s="102">
        <v>11</v>
      </c>
      <c r="Q101" s="74" t="s">
        <v>651</v>
      </c>
      <c r="R101" s="74" t="s">
        <v>651</v>
      </c>
      <c r="S101" s="74" t="s">
        <v>651</v>
      </c>
      <c r="T101" s="113" t="s">
        <v>651</v>
      </c>
      <c r="U101" s="113" t="s">
        <v>651</v>
      </c>
    </row>
    <row r="102" spans="1:21" s="43" customFormat="1" x14ac:dyDescent="0.25">
      <c r="A102" s="15">
        <v>84</v>
      </c>
      <c r="B102" s="15">
        <v>323212</v>
      </c>
      <c r="C102" s="16" t="s">
        <v>208</v>
      </c>
      <c r="D102" s="45"/>
      <c r="E102" s="185"/>
      <c r="F102" s="185"/>
      <c r="G102" s="42">
        <v>100000</v>
      </c>
      <c r="H102" s="42"/>
      <c r="I102" s="42"/>
      <c r="J102" s="8">
        <f t="shared" si="67"/>
        <v>0</v>
      </c>
      <c r="K102" s="98">
        <f t="shared" si="52"/>
        <v>0</v>
      </c>
      <c r="L102" s="103">
        <v>41</v>
      </c>
      <c r="M102" s="77">
        <v>41</v>
      </c>
      <c r="N102" s="76">
        <v>41</v>
      </c>
      <c r="O102" s="76">
        <v>41</v>
      </c>
      <c r="P102" s="102">
        <v>41</v>
      </c>
      <c r="Q102" s="74" t="s">
        <v>679</v>
      </c>
      <c r="R102" s="74" t="s">
        <v>679</v>
      </c>
      <c r="S102" s="74" t="s">
        <v>679</v>
      </c>
      <c r="T102" s="113" t="s">
        <v>679</v>
      </c>
      <c r="U102" s="113" t="s">
        <v>679</v>
      </c>
    </row>
    <row r="103" spans="1:21" s="43" customFormat="1" x14ac:dyDescent="0.25">
      <c r="A103" s="15">
        <v>85</v>
      </c>
      <c r="B103" s="15">
        <v>323213</v>
      </c>
      <c r="C103" s="16" t="s">
        <v>209</v>
      </c>
      <c r="D103" s="45"/>
      <c r="E103" s="185"/>
      <c r="F103" s="185"/>
      <c r="G103" s="42"/>
      <c r="H103" s="42"/>
      <c r="I103" s="42"/>
      <c r="J103" s="8">
        <f t="shared" si="67"/>
        <v>0</v>
      </c>
      <c r="K103" s="98">
        <f t="shared" si="52"/>
        <v>0</v>
      </c>
      <c r="L103" s="103">
        <v>21</v>
      </c>
      <c r="M103" s="77">
        <v>21</v>
      </c>
      <c r="N103" s="76">
        <v>21</v>
      </c>
      <c r="O103" s="76">
        <v>21</v>
      </c>
      <c r="P103" s="102">
        <v>21</v>
      </c>
      <c r="Q103" s="74" t="s">
        <v>675</v>
      </c>
      <c r="R103" s="74" t="s">
        <v>675</v>
      </c>
      <c r="S103" s="74" t="s">
        <v>675</v>
      </c>
      <c r="T103" s="113" t="s">
        <v>675</v>
      </c>
      <c r="U103" s="113" t="s">
        <v>675</v>
      </c>
    </row>
    <row r="104" spans="1:21" s="43" customFormat="1" x14ac:dyDescent="0.25">
      <c r="A104" s="15"/>
      <c r="B104" s="15">
        <v>323216</v>
      </c>
      <c r="C104" s="16" t="s">
        <v>210</v>
      </c>
      <c r="D104" s="45"/>
      <c r="E104" s="185"/>
      <c r="F104" s="185">
        <v>4975.76</v>
      </c>
      <c r="G104" s="42">
        <v>40000</v>
      </c>
      <c r="H104" s="42">
        <v>5000</v>
      </c>
      <c r="I104" s="42">
        <v>4975.76</v>
      </c>
      <c r="J104" s="8">
        <f t="shared" si="67"/>
        <v>0</v>
      </c>
      <c r="K104" s="98">
        <f t="shared" si="52"/>
        <v>12.5</v>
      </c>
      <c r="L104" s="103">
        <v>31</v>
      </c>
      <c r="M104" s="77">
        <v>31</v>
      </c>
      <c r="N104" s="76">
        <v>31</v>
      </c>
      <c r="O104" s="76">
        <v>31</v>
      </c>
      <c r="P104" s="102">
        <v>31</v>
      </c>
      <c r="Q104" s="74" t="s">
        <v>651</v>
      </c>
      <c r="R104" s="74" t="s">
        <v>651</v>
      </c>
      <c r="S104" s="74" t="s">
        <v>651</v>
      </c>
      <c r="T104" s="113" t="s">
        <v>651</v>
      </c>
      <c r="U104" s="113" t="s">
        <v>651</v>
      </c>
    </row>
    <row r="105" spans="1:21" s="43" customFormat="1" x14ac:dyDescent="0.25">
      <c r="A105" s="15">
        <v>88</v>
      </c>
      <c r="B105" s="15">
        <v>323217</v>
      </c>
      <c r="C105" s="16" t="s">
        <v>211</v>
      </c>
      <c r="D105" s="45"/>
      <c r="E105" s="185"/>
      <c r="F105" s="185"/>
      <c r="G105" s="42">
        <v>15000</v>
      </c>
      <c r="H105" s="42"/>
      <c r="I105" s="42"/>
      <c r="J105" s="8">
        <f t="shared" si="67"/>
        <v>0</v>
      </c>
      <c r="K105" s="98">
        <f t="shared" si="52"/>
        <v>0</v>
      </c>
      <c r="L105" s="103">
        <v>31</v>
      </c>
      <c r="M105" s="77">
        <v>31</v>
      </c>
      <c r="N105" s="76">
        <v>31</v>
      </c>
      <c r="O105" s="76">
        <v>31</v>
      </c>
      <c r="P105" s="102">
        <v>31</v>
      </c>
      <c r="Q105" s="74" t="s">
        <v>651</v>
      </c>
      <c r="R105" s="74" t="s">
        <v>651</v>
      </c>
      <c r="S105" s="74" t="s">
        <v>651</v>
      </c>
      <c r="T105" s="113" t="s">
        <v>651</v>
      </c>
      <c r="U105" s="113" t="s">
        <v>651</v>
      </c>
    </row>
    <row r="106" spans="1:21" s="43" customFormat="1" x14ac:dyDescent="0.25">
      <c r="A106" s="15">
        <v>89</v>
      </c>
      <c r="B106" s="15">
        <v>323218</v>
      </c>
      <c r="C106" s="16" t="s">
        <v>380</v>
      </c>
      <c r="D106" s="45"/>
      <c r="E106" s="185">
        <v>2259.0500000000002</v>
      </c>
      <c r="F106" s="185">
        <v>5043.05</v>
      </c>
      <c r="G106" s="42">
        <v>60000</v>
      </c>
      <c r="H106" s="42">
        <v>10000</v>
      </c>
      <c r="I106" s="42">
        <v>5043.05</v>
      </c>
      <c r="J106" s="8">
        <f t="shared" si="67"/>
        <v>442.66395166109646</v>
      </c>
      <c r="K106" s="98">
        <f t="shared" si="52"/>
        <v>16.666666666666664</v>
      </c>
      <c r="L106" s="103">
        <v>41</v>
      </c>
      <c r="M106" s="77">
        <v>41</v>
      </c>
      <c r="N106" s="76">
        <v>41</v>
      </c>
      <c r="O106" s="76">
        <v>41</v>
      </c>
      <c r="P106" s="102">
        <v>41</v>
      </c>
      <c r="Q106" s="74" t="s">
        <v>615</v>
      </c>
      <c r="R106" s="74" t="s">
        <v>615</v>
      </c>
      <c r="S106" s="74" t="s">
        <v>615</v>
      </c>
      <c r="T106" s="113" t="s">
        <v>615</v>
      </c>
      <c r="U106" s="113" t="s">
        <v>615</v>
      </c>
    </row>
    <row r="107" spans="1:21" s="43" customFormat="1" x14ac:dyDescent="0.25">
      <c r="A107" s="15">
        <v>91</v>
      </c>
      <c r="B107" s="15">
        <v>323221</v>
      </c>
      <c r="C107" s="16" t="s">
        <v>212</v>
      </c>
      <c r="D107" s="45"/>
      <c r="E107" s="185">
        <v>3257.59</v>
      </c>
      <c r="F107" s="185">
        <v>6354.29</v>
      </c>
      <c r="G107" s="42">
        <v>10000</v>
      </c>
      <c r="H107" s="42">
        <v>7000</v>
      </c>
      <c r="I107" s="42">
        <v>6354.29</v>
      </c>
      <c r="J107" s="8">
        <f t="shared" si="67"/>
        <v>214.882781442723</v>
      </c>
      <c r="K107" s="98">
        <f t="shared" si="52"/>
        <v>70</v>
      </c>
      <c r="L107" s="103">
        <v>31</v>
      </c>
      <c r="M107" s="77">
        <v>31</v>
      </c>
      <c r="N107" s="76">
        <v>31</v>
      </c>
      <c r="O107" s="76">
        <v>31</v>
      </c>
      <c r="P107" s="102">
        <v>31</v>
      </c>
      <c r="Q107" s="74" t="s">
        <v>647</v>
      </c>
      <c r="R107" s="74" t="s">
        <v>647</v>
      </c>
      <c r="S107" s="74" t="s">
        <v>647</v>
      </c>
      <c r="T107" s="113" t="s">
        <v>647</v>
      </c>
      <c r="U107" s="113" t="s">
        <v>647</v>
      </c>
    </row>
    <row r="108" spans="1:21" s="43" customFormat="1" x14ac:dyDescent="0.25">
      <c r="A108" s="15">
        <v>92</v>
      </c>
      <c r="B108" s="15">
        <v>323222</v>
      </c>
      <c r="C108" s="16" t="s">
        <v>213</v>
      </c>
      <c r="D108" s="45"/>
      <c r="E108" s="185"/>
      <c r="F108" s="185"/>
      <c r="G108" s="42"/>
      <c r="H108" s="42"/>
      <c r="I108" s="42"/>
      <c r="J108" s="8">
        <f t="shared" si="67"/>
        <v>0</v>
      </c>
      <c r="K108" s="98">
        <f t="shared" si="52"/>
        <v>0</v>
      </c>
      <c r="L108" s="103">
        <v>31</v>
      </c>
      <c r="M108" s="77">
        <v>31</v>
      </c>
      <c r="N108" s="76">
        <v>31</v>
      </c>
      <c r="O108" s="76">
        <v>31</v>
      </c>
      <c r="P108" s="102">
        <v>31</v>
      </c>
      <c r="Q108" s="74" t="s">
        <v>647</v>
      </c>
      <c r="R108" s="74" t="s">
        <v>647</v>
      </c>
      <c r="S108" s="74" t="s">
        <v>647</v>
      </c>
      <c r="T108" s="113" t="s">
        <v>647</v>
      </c>
      <c r="U108" s="113" t="s">
        <v>647</v>
      </c>
    </row>
    <row r="109" spans="1:21" s="43" customFormat="1" x14ac:dyDescent="0.25">
      <c r="A109" s="15">
        <v>93</v>
      </c>
      <c r="B109" s="15">
        <v>323223</v>
      </c>
      <c r="C109" s="16" t="s">
        <v>214</v>
      </c>
      <c r="D109" s="45"/>
      <c r="E109" s="185">
        <v>894.28</v>
      </c>
      <c r="F109" s="185">
        <v>5385.75</v>
      </c>
      <c r="G109" s="42">
        <v>5000</v>
      </c>
      <c r="H109" s="42">
        <v>5000</v>
      </c>
      <c r="I109" s="42">
        <v>5385.75</v>
      </c>
      <c r="J109" s="8">
        <f t="shared" si="67"/>
        <v>559.10900389139874</v>
      </c>
      <c r="K109" s="98">
        <f t="shared" si="52"/>
        <v>100</v>
      </c>
      <c r="L109" s="103">
        <v>11</v>
      </c>
      <c r="M109" s="77">
        <v>11</v>
      </c>
      <c r="N109" s="76">
        <v>11</v>
      </c>
      <c r="O109" s="76">
        <v>11</v>
      </c>
      <c r="P109" s="102">
        <v>11</v>
      </c>
      <c r="Q109" s="74" t="s">
        <v>563</v>
      </c>
      <c r="R109" s="74" t="s">
        <v>563</v>
      </c>
      <c r="S109" s="74" t="s">
        <v>563</v>
      </c>
      <c r="T109" s="113" t="s">
        <v>563</v>
      </c>
      <c r="U109" s="113" t="s">
        <v>563</v>
      </c>
    </row>
    <row r="110" spans="1:21" s="43" customFormat="1" x14ac:dyDescent="0.25">
      <c r="A110" s="15">
        <v>94</v>
      </c>
      <c r="B110" s="15">
        <v>323224</v>
      </c>
      <c r="C110" s="16" t="s">
        <v>215</v>
      </c>
      <c r="D110" s="45"/>
      <c r="E110" s="185">
        <v>6500.38</v>
      </c>
      <c r="F110" s="185">
        <v>7242.88</v>
      </c>
      <c r="G110" s="42">
        <v>2000</v>
      </c>
      <c r="H110" s="42">
        <v>7100</v>
      </c>
      <c r="I110" s="42">
        <v>7242.88</v>
      </c>
      <c r="J110" s="8">
        <f t="shared" si="67"/>
        <v>109.22438380525446</v>
      </c>
      <c r="K110" s="98">
        <f t="shared" si="52"/>
        <v>355</v>
      </c>
      <c r="L110" s="103">
        <v>11</v>
      </c>
      <c r="M110" s="77">
        <v>11</v>
      </c>
      <c r="N110" s="76">
        <v>11</v>
      </c>
      <c r="O110" s="76">
        <v>11</v>
      </c>
      <c r="P110" s="102">
        <v>11</v>
      </c>
      <c r="Q110" s="74" t="s">
        <v>563</v>
      </c>
      <c r="R110" s="74" t="s">
        <v>563</v>
      </c>
      <c r="S110" s="74" t="s">
        <v>563</v>
      </c>
      <c r="T110" s="113" t="s">
        <v>563</v>
      </c>
      <c r="U110" s="113" t="s">
        <v>563</v>
      </c>
    </row>
    <row r="111" spans="1:21" s="254" customFormat="1" x14ac:dyDescent="0.25">
      <c r="A111" s="244"/>
      <c r="B111" s="15">
        <v>323225</v>
      </c>
      <c r="C111" s="16" t="s">
        <v>942</v>
      </c>
      <c r="D111" s="246"/>
      <c r="E111" s="185"/>
      <c r="F111" s="185"/>
      <c r="G111" s="42">
        <v>8000</v>
      </c>
      <c r="H111" s="42"/>
      <c r="I111" s="42"/>
      <c r="J111" s="182">
        <f t="shared" si="67"/>
        <v>0</v>
      </c>
      <c r="K111" s="255"/>
      <c r="L111" s="103">
        <v>11</v>
      </c>
      <c r="M111" s="77">
        <v>11</v>
      </c>
      <c r="N111" s="76">
        <v>11</v>
      </c>
      <c r="O111" s="76">
        <v>11</v>
      </c>
      <c r="P111" s="102">
        <v>11</v>
      </c>
      <c r="Q111" s="74" t="s">
        <v>563</v>
      </c>
      <c r="R111" s="74" t="s">
        <v>563</v>
      </c>
      <c r="S111" s="74" t="s">
        <v>563</v>
      </c>
      <c r="T111" s="113" t="s">
        <v>563</v>
      </c>
      <c r="U111" s="113" t="s">
        <v>563</v>
      </c>
    </row>
    <row r="112" spans="1:21" s="43" customFormat="1" x14ac:dyDescent="0.25">
      <c r="A112" s="15">
        <v>96</v>
      </c>
      <c r="B112" s="15">
        <v>32323</v>
      </c>
      <c r="C112" s="16" t="s">
        <v>216</v>
      </c>
      <c r="D112" s="45"/>
      <c r="E112" s="185">
        <v>2277.9</v>
      </c>
      <c r="F112" s="185">
        <v>6174.52</v>
      </c>
      <c r="G112" s="42">
        <v>7000</v>
      </c>
      <c r="H112" s="42">
        <v>7000</v>
      </c>
      <c r="I112" s="42">
        <v>6174.52</v>
      </c>
      <c r="J112" s="8">
        <f t="shared" si="67"/>
        <v>307.30058387110932</v>
      </c>
      <c r="K112" s="98">
        <f t="shared" si="52"/>
        <v>100</v>
      </c>
      <c r="L112" s="248">
        <v>11</v>
      </c>
      <c r="M112" s="249">
        <v>11</v>
      </c>
      <c r="N112" s="250">
        <v>11</v>
      </c>
      <c r="O112" s="250">
        <v>11</v>
      </c>
      <c r="P112" s="251">
        <v>11</v>
      </c>
      <c r="Q112" s="252" t="s">
        <v>563</v>
      </c>
      <c r="R112" s="252" t="s">
        <v>563</v>
      </c>
      <c r="S112" s="252" t="s">
        <v>563</v>
      </c>
      <c r="T112" s="253" t="s">
        <v>563</v>
      </c>
      <c r="U112" s="253" t="s">
        <v>563</v>
      </c>
    </row>
    <row r="113" spans="1:23" s="43" customFormat="1" x14ac:dyDescent="0.25">
      <c r="A113" s="15">
        <v>98</v>
      </c>
      <c r="B113" s="15">
        <v>323226</v>
      </c>
      <c r="C113" s="16" t="s">
        <v>217</v>
      </c>
      <c r="D113" s="45"/>
      <c r="E113" s="185">
        <v>3825</v>
      </c>
      <c r="F113" s="185">
        <v>12225</v>
      </c>
      <c r="G113" s="42">
        <v>40000</v>
      </c>
      <c r="H113" s="42">
        <v>40000</v>
      </c>
      <c r="I113" s="42">
        <v>12225</v>
      </c>
      <c r="J113" s="8">
        <f t="shared" si="67"/>
        <v>1045.751633986928</v>
      </c>
      <c r="K113" s="98">
        <f t="shared" si="52"/>
        <v>100</v>
      </c>
      <c r="L113" s="103">
        <v>31</v>
      </c>
      <c r="M113" s="77">
        <v>31</v>
      </c>
      <c r="N113" s="76">
        <v>31</v>
      </c>
      <c r="O113" s="76">
        <v>31</v>
      </c>
      <c r="P113" s="102">
        <v>31</v>
      </c>
      <c r="Q113" s="74" t="s">
        <v>609</v>
      </c>
      <c r="R113" s="74" t="s">
        <v>609</v>
      </c>
      <c r="S113" s="74" t="s">
        <v>609</v>
      </c>
      <c r="T113" s="113" t="s">
        <v>609</v>
      </c>
      <c r="U113" s="113" t="s">
        <v>609</v>
      </c>
    </row>
    <row r="114" spans="1:23" s="43" customFormat="1" x14ac:dyDescent="0.25">
      <c r="A114" s="15"/>
      <c r="B114" s="15">
        <v>323227</v>
      </c>
      <c r="C114" s="16" t="s">
        <v>738</v>
      </c>
      <c r="D114" s="45"/>
      <c r="E114" s="185"/>
      <c r="F114" s="185">
        <v>1489.38</v>
      </c>
      <c r="G114" s="42"/>
      <c r="H114" s="42">
        <v>2000</v>
      </c>
      <c r="I114" s="42">
        <v>1489.38</v>
      </c>
      <c r="J114" s="8">
        <f t="shared" si="67"/>
        <v>0</v>
      </c>
      <c r="K114" s="98">
        <f t="shared" si="52"/>
        <v>0</v>
      </c>
      <c r="L114" s="103">
        <v>31</v>
      </c>
      <c r="M114" s="77">
        <v>31</v>
      </c>
      <c r="N114" s="76">
        <v>31</v>
      </c>
      <c r="O114" s="76">
        <v>31</v>
      </c>
      <c r="P114" s="102">
        <v>31</v>
      </c>
      <c r="Q114" s="74" t="s">
        <v>563</v>
      </c>
      <c r="R114" s="74" t="s">
        <v>563</v>
      </c>
      <c r="S114" s="74" t="s">
        <v>563</v>
      </c>
      <c r="T114" s="113" t="s">
        <v>563</v>
      </c>
      <c r="U114" s="113" t="s">
        <v>563</v>
      </c>
      <c r="V114" s="41"/>
      <c r="W114" s="41"/>
    </row>
    <row r="115" spans="1:23" s="41" customFormat="1" x14ac:dyDescent="0.25">
      <c r="A115" s="15"/>
      <c r="B115" s="15">
        <v>323229</v>
      </c>
      <c r="C115" s="16" t="s">
        <v>400</v>
      </c>
      <c r="D115" s="45"/>
      <c r="E115" s="185">
        <v>5250</v>
      </c>
      <c r="F115" s="185">
        <v>5250</v>
      </c>
      <c r="G115" s="42">
        <v>15000</v>
      </c>
      <c r="H115" s="42">
        <v>15000</v>
      </c>
      <c r="I115" s="42">
        <v>5250</v>
      </c>
      <c r="J115" s="8">
        <f t="shared" si="67"/>
        <v>285.71428571428572</v>
      </c>
      <c r="K115" s="98">
        <f t="shared" si="52"/>
        <v>100</v>
      </c>
      <c r="L115" s="103">
        <v>31</v>
      </c>
      <c r="M115" s="77">
        <v>31</v>
      </c>
      <c r="N115" s="76">
        <v>31</v>
      </c>
      <c r="O115" s="76">
        <v>31</v>
      </c>
      <c r="P115" s="102">
        <v>31</v>
      </c>
      <c r="Q115" s="74" t="s">
        <v>609</v>
      </c>
      <c r="R115" s="74" t="s">
        <v>609</v>
      </c>
      <c r="S115" s="74" t="s">
        <v>609</v>
      </c>
      <c r="T115" s="112" t="s">
        <v>609</v>
      </c>
      <c r="U115" s="112" t="s">
        <v>609</v>
      </c>
      <c r="V115" s="43"/>
      <c r="W115" s="43"/>
    </row>
    <row r="116" spans="1:23" s="43" customFormat="1" x14ac:dyDescent="0.25">
      <c r="A116" s="15">
        <v>99</v>
      </c>
      <c r="B116" s="15"/>
      <c r="C116" s="16" t="s">
        <v>218</v>
      </c>
      <c r="D116" s="45"/>
      <c r="E116" s="185"/>
      <c r="F116" s="185">
        <v>29393.86</v>
      </c>
      <c r="G116" s="42"/>
      <c r="H116" s="42">
        <v>40000</v>
      </c>
      <c r="I116" s="42">
        <v>29393.86</v>
      </c>
      <c r="J116" s="8">
        <f t="shared" si="67"/>
        <v>0</v>
      </c>
      <c r="K116" s="98">
        <f t="shared" si="52"/>
        <v>0</v>
      </c>
      <c r="L116" s="103">
        <v>11</v>
      </c>
      <c r="M116" s="77">
        <v>11</v>
      </c>
      <c r="N116" s="76">
        <v>11</v>
      </c>
      <c r="O116" s="76">
        <v>11</v>
      </c>
      <c r="P116" s="102">
        <v>11</v>
      </c>
      <c r="Q116" s="74" t="s">
        <v>641</v>
      </c>
      <c r="R116" s="74" t="s">
        <v>641</v>
      </c>
      <c r="S116" s="74" t="s">
        <v>641</v>
      </c>
      <c r="T116" s="113" t="s">
        <v>641</v>
      </c>
      <c r="U116" s="113" t="s">
        <v>641</v>
      </c>
    </row>
    <row r="117" spans="1:23" s="43" customFormat="1" x14ac:dyDescent="0.25">
      <c r="A117" s="15">
        <v>100</v>
      </c>
      <c r="B117" s="15">
        <v>323421</v>
      </c>
      <c r="C117" s="16" t="s">
        <v>219</v>
      </c>
      <c r="D117" s="45"/>
      <c r="E117" s="185"/>
      <c r="F117" s="185">
        <v>831.76</v>
      </c>
      <c r="G117" s="42"/>
      <c r="H117" s="42">
        <v>3000</v>
      </c>
      <c r="I117" s="42">
        <v>831.76</v>
      </c>
      <c r="J117" s="8">
        <f t="shared" si="67"/>
        <v>0</v>
      </c>
      <c r="K117" s="98">
        <f t="shared" si="52"/>
        <v>0</v>
      </c>
      <c r="L117" s="103">
        <v>11</v>
      </c>
      <c r="M117" s="77">
        <v>11</v>
      </c>
      <c r="N117" s="76">
        <v>11</v>
      </c>
      <c r="O117" s="76">
        <v>11</v>
      </c>
      <c r="P117" s="102">
        <v>11</v>
      </c>
      <c r="Q117" s="74" t="s">
        <v>627</v>
      </c>
      <c r="R117" s="74" t="s">
        <v>627</v>
      </c>
      <c r="S117" s="74" t="s">
        <v>627</v>
      </c>
      <c r="T117" s="113" t="s">
        <v>627</v>
      </c>
      <c r="U117" s="113" t="s">
        <v>627</v>
      </c>
    </row>
    <row r="118" spans="1:23" s="43" customFormat="1" x14ac:dyDescent="0.25">
      <c r="A118" s="37"/>
      <c r="B118" s="37">
        <v>3233</v>
      </c>
      <c r="C118" s="38" t="s">
        <v>220</v>
      </c>
      <c r="D118" s="39">
        <f t="shared" ref="D118:I118" si="68">SUM(D119:D121)</f>
        <v>0</v>
      </c>
      <c r="E118" s="184">
        <f>SUM(E119:E121)</f>
        <v>6842.9000000000005</v>
      </c>
      <c r="F118" s="184">
        <f t="shared" ref="F118" si="69">SUM(F119:F121)</f>
        <v>12042.43</v>
      </c>
      <c r="G118" s="39">
        <f t="shared" si="68"/>
        <v>14000</v>
      </c>
      <c r="H118" s="39">
        <f>SUM(H119:H121)</f>
        <v>15500</v>
      </c>
      <c r="I118" s="39">
        <f t="shared" si="68"/>
        <v>12042.43</v>
      </c>
      <c r="J118" s="8">
        <f t="shared" si="67"/>
        <v>226.5121512808897</v>
      </c>
      <c r="K118" s="98">
        <f t="shared" si="52"/>
        <v>110.71428571428572</v>
      </c>
      <c r="L118" s="103"/>
      <c r="M118" s="77"/>
      <c r="N118" s="76"/>
      <c r="O118" s="76"/>
      <c r="P118" s="102"/>
      <c r="Q118" s="74"/>
      <c r="R118" s="74"/>
      <c r="S118" s="74"/>
      <c r="T118" s="113"/>
      <c r="U118" s="113"/>
    </row>
    <row r="119" spans="1:23" s="43" customFormat="1" x14ac:dyDescent="0.25">
      <c r="A119" s="15">
        <v>101</v>
      </c>
      <c r="B119" s="15">
        <v>323311</v>
      </c>
      <c r="C119" s="16" t="s">
        <v>221</v>
      </c>
      <c r="D119" s="45"/>
      <c r="E119" s="185">
        <v>1937.16</v>
      </c>
      <c r="F119" s="185">
        <v>3432.01</v>
      </c>
      <c r="G119" s="42">
        <v>4000</v>
      </c>
      <c r="H119" s="42">
        <v>4000</v>
      </c>
      <c r="I119" s="42">
        <v>3432.01</v>
      </c>
      <c r="J119" s="8">
        <f t="shared" si="67"/>
        <v>206.487848190134</v>
      </c>
      <c r="K119" s="98">
        <f t="shared" si="52"/>
        <v>100</v>
      </c>
      <c r="L119" s="103">
        <v>11</v>
      </c>
      <c r="M119" s="77">
        <v>11</v>
      </c>
      <c r="N119" s="76">
        <v>11</v>
      </c>
      <c r="O119" s="76">
        <v>11</v>
      </c>
      <c r="P119" s="102">
        <v>11</v>
      </c>
      <c r="Q119" s="74" t="s">
        <v>673</v>
      </c>
      <c r="R119" s="74" t="s">
        <v>673</v>
      </c>
      <c r="S119" s="74" t="s">
        <v>673</v>
      </c>
      <c r="T119" s="113" t="s">
        <v>673</v>
      </c>
      <c r="U119" s="113" t="s">
        <v>673</v>
      </c>
    </row>
    <row r="120" spans="1:23" s="43" customFormat="1" x14ac:dyDescent="0.25">
      <c r="A120" s="15">
        <v>102</v>
      </c>
      <c r="B120" s="15">
        <v>323312</v>
      </c>
      <c r="C120" s="16" t="s">
        <v>222</v>
      </c>
      <c r="D120" s="45"/>
      <c r="E120" s="185">
        <v>2140.15</v>
      </c>
      <c r="F120" s="185">
        <v>3424.24</v>
      </c>
      <c r="G120" s="42">
        <v>3500</v>
      </c>
      <c r="H120" s="42">
        <v>5000</v>
      </c>
      <c r="I120" s="42">
        <v>3424.24</v>
      </c>
      <c r="J120" s="8">
        <f t="shared" si="67"/>
        <v>233.6284839847674</v>
      </c>
      <c r="K120" s="98">
        <f t="shared" si="52"/>
        <v>142.85714285714286</v>
      </c>
      <c r="L120" s="103">
        <v>11</v>
      </c>
      <c r="M120" s="77">
        <v>11</v>
      </c>
      <c r="N120" s="76">
        <v>11</v>
      </c>
      <c r="O120" s="76">
        <v>11</v>
      </c>
      <c r="P120" s="102">
        <v>11</v>
      </c>
      <c r="Q120" s="74" t="s">
        <v>673</v>
      </c>
      <c r="R120" s="74" t="s">
        <v>673</v>
      </c>
      <c r="S120" s="74" t="s">
        <v>673</v>
      </c>
      <c r="T120" s="113" t="s">
        <v>673</v>
      </c>
      <c r="U120" s="113" t="s">
        <v>673</v>
      </c>
    </row>
    <row r="121" spans="1:23" s="43" customFormat="1" x14ac:dyDescent="0.25">
      <c r="A121" s="15">
        <v>103</v>
      </c>
      <c r="B121" s="15">
        <v>323321</v>
      </c>
      <c r="C121" s="16" t="s">
        <v>223</v>
      </c>
      <c r="D121" s="45"/>
      <c r="E121" s="185">
        <v>2765.59</v>
      </c>
      <c r="F121" s="185">
        <v>5186.18</v>
      </c>
      <c r="G121" s="42">
        <v>6500</v>
      </c>
      <c r="H121" s="42">
        <v>6500</v>
      </c>
      <c r="I121" s="42">
        <v>5186.18</v>
      </c>
      <c r="J121" s="8">
        <f t="shared" si="67"/>
        <v>235.03122299400849</v>
      </c>
      <c r="K121" s="98">
        <f t="shared" ref="K121:K187" si="70">IFERROR(SUM(H121/G121),0)*100</f>
        <v>100</v>
      </c>
      <c r="L121" s="103">
        <v>11</v>
      </c>
      <c r="M121" s="77">
        <v>11</v>
      </c>
      <c r="N121" s="76">
        <v>11</v>
      </c>
      <c r="O121" s="76">
        <v>11</v>
      </c>
      <c r="P121" s="102">
        <v>11</v>
      </c>
      <c r="Q121" s="74" t="s">
        <v>673</v>
      </c>
      <c r="R121" s="74" t="s">
        <v>673</v>
      </c>
      <c r="S121" s="74" t="s">
        <v>673</v>
      </c>
      <c r="T121" s="113" t="s">
        <v>673</v>
      </c>
      <c r="U121" s="113" t="s">
        <v>673</v>
      </c>
    </row>
    <row r="122" spans="1:23" s="43" customFormat="1" x14ac:dyDescent="0.25">
      <c r="A122" s="37"/>
      <c r="B122" s="37">
        <v>3234</v>
      </c>
      <c r="C122" s="38" t="s">
        <v>224</v>
      </c>
      <c r="D122" s="39">
        <f t="shared" ref="D122:I122" si="71">SUM(D123:D140)</f>
        <v>0</v>
      </c>
      <c r="E122" s="184">
        <f t="shared" ref="E122:F122" si="72">SUM(E123:E140)</f>
        <v>133297.40000000002</v>
      </c>
      <c r="F122" s="184">
        <f t="shared" si="72"/>
        <v>346831.57999999996</v>
      </c>
      <c r="G122" s="39">
        <f t="shared" si="71"/>
        <v>238000</v>
      </c>
      <c r="H122" s="39">
        <f t="shared" si="71"/>
        <v>374500</v>
      </c>
      <c r="I122" s="39">
        <f t="shared" si="71"/>
        <v>346831.57999999996</v>
      </c>
      <c r="J122" s="8">
        <f t="shared" si="67"/>
        <v>280.95071621802072</v>
      </c>
      <c r="K122" s="98">
        <f t="shared" si="70"/>
        <v>157.35294117647058</v>
      </c>
    </row>
    <row r="123" spans="1:23" s="43" customFormat="1" x14ac:dyDescent="0.25">
      <c r="A123" s="15">
        <v>104</v>
      </c>
      <c r="B123" s="15">
        <v>323411</v>
      </c>
      <c r="C123" s="16" t="s">
        <v>225</v>
      </c>
      <c r="D123" s="45"/>
      <c r="E123" s="185">
        <v>3084.01</v>
      </c>
      <c r="F123" s="185">
        <v>12673.25</v>
      </c>
      <c r="G123" s="42">
        <v>6500</v>
      </c>
      <c r="H123" s="42">
        <v>10500</v>
      </c>
      <c r="I123" s="42">
        <v>12673.25</v>
      </c>
      <c r="J123" s="8">
        <f t="shared" si="67"/>
        <v>340.46582209525911</v>
      </c>
      <c r="K123" s="98">
        <f t="shared" si="70"/>
        <v>161.53846153846155</v>
      </c>
      <c r="L123" s="103">
        <v>11</v>
      </c>
      <c r="M123" s="77">
        <v>11</v>
      </c>
      <c r="N123" s="76">
        <v>11</v>
      </c>
      <c r="O123" s="76">
        <v>11</v>
      </c>
      <c r="P123" s="102">
        <v>11</v>
      </c>
      <c r="Q123" s="74" t="s">
        <v>645</v>
      </c>
      <c r="R123" s="74" t="s">
        <v>645</v>
      </c>
      <c r="S123" s="74" t="s">
        <v>645</v>
      </c>
      <c r="T123" s="113" t="s">
        <v>645</v>
      </c>
      <c r="U123" s="113" t="s">
        <v>645</v>
      </c>
    </row>
    <row r="124" spans="1:23" s="43" customFormat="1" x14ac:dyDescent="0.25">
      <c r="A124" s="262"/>
      <c r="B124" s="15">
        <v>323412</v>
      </c>
      <c r="C124" s="16" t="s">
        <v>986</v>
      </c>
      <c r="D124" s="45"/>
      <c r="E124" s="185">
        <v>223.21</v>
      </c>
      <c r="F124" s="185">
        <v>754.82</v>
      </c>
      <c r="G124" s="42"/>
      <c r="H124" s="42">
        <v>1000</v>
      </c>
      <c r="I124" s="42">
        <v>754.82</v>
      </c>
      <c r="J124" s="17"/>
      <c r="K124" s="131"/>
      <c r="L124" s="114">
        <v>11</v>
      </c>
      <c r="M124" s="115">
        <v>11</v>
      </c>
      <c r="N124" s="116">
        <v>11</v>
      </c>
      <c r="O124" s="116">
        <v>11</v>
      </c>
      <c r="P124" s="117">
        <v>11</v>
      </c>
      <c r="Q124" s="118" t="s">
        <v>669</v>
      </c>
      <c r="R124" s="118" t="s">
        <v>669</v>
      </c>
      <c r="S124" s="118" t="s">
        <v>669</v>
      </c>
      <c r="T124" s="118" t="s">
        <v>669</v>
      </c>
      <c r="U124" s="118" t="s">
        <v>669</v>
      </c>
    </row>
    <row r="125" spans="1:23" s="43" customFormat="1" x14ac:dyDescent="0.25">
      <c r="A125" s="15">
        <v>105</v>
      </c>
      <c r="B125" s="15">
        <v>32342</v>
      </c>
      <c r="C125" s="16" t="s">
        <v>226</v>
      </c>
      <c r="D125" s="45"/>
      <c r="E125" s="185">
        <v>8317.52</v>
      </c>
      <c r="F125" s="185">
        <v>16166.49</v>
      </c>
      <c r="G125" s="42">
        <v>13000</v>
      </c>
      <c r="H125" s="42">
        <v>15000</v>
      </c>
      <c r="I125" s="42">
        <v>16166.49</v>
      </c>
      <c r="J125" s="8">
        <f t="shared" ref="J125:J130" si="73">IFERROR(SUM(H125/E125),0)*100</f>
        <v>180.34221739172253</v>
      </c>
      <c r="K125" s="98">
        <f t="shared" si="70"/>
        <v>115.38461538461537</v>
      </c>
      <c r="L125" s="103">
        <v>11</v>
      </c>
      <c r="M125" s="77">
        <v>11</v>
      </c>
      <c r="N125" s="76">
        <v>11</v>
      </c>
      <c r="O125" s="76">
        <v>11</v>
      </c>
      <c r="P125" s="102">
        <v>11</v>
      </c>
      <c r="Q125" s="74" t="s">
        <v>627</v>
      </c>
      <c r="R125" s="74" t="s">
        <v>627</v>
      </c>
      <c r="S125" s="74" t="s">
        <v>627</v>
      </c>
      <c r="T125" s="113" t="s">
        <v>627</v>
      </c>
      <c r="U125" s="113" t="s">
        <v>627</v>
      </c>
    </row>
    <row r="126" spans="1:23" s="43" customFormat="1" x14ac:dyDescent="0.25">
      <c r="A126" s="15">
        <v>106</v>
      </c>
      <c r="B126" s="15">
        <v>32343</v>
      </c>
      <c r="C126" s="16" t="s">
        <v>227</v>
      </c>
      <c r="D126" s="45"/>
      <c r="E126" s="185">
        <v>14515.99</v>
      </c>
      <c r="F126" s="185">
        <v>24496.59</v>
      </c>
      <c r="G126" s="42">
        <v>20000</v>
      </c>
      <c r="H126" s="42">
        <v>27000</v>
      </c>
      <c r="I126" s="42">
        <v>24496.59</v>
      </c>
      <c r="J126" s="8">
        <f t="shared" si="73"/>
        <v>186.00178148372933</v>
      </c>
      <c r="K126" s="98">
        <f t="shared" si="70"/>
        <v>135</v>
      </c>
      <c r="L126" s="103">
        <v>11</v>
      </c>
      <c r="M126" s="77">
        <v>11</v>
      </c>
      <c r="N126" s="76">
        <v>11</v>
      </c>
      <c r="O126" s="76">
        <v>11</v>
      </c>
      <c r="P126" s="102">
        <v>11</v>
      </c>
      <c r="Q126" s="74" t="s">
        <v>633</v>
      </c>
      <c r="R126" s="74" t="s">
        <v>633</v>
      </c>
      <c r="S126" s="74" t="s">
        <v>633</v>
      </c>
      <c r="T126" s="113" t="s">
        <v>633</v>
      </c>
      <c r="U126" s="113" t="s">
        <v>633</v>
      </c>
    </row>
    <row r="127" spans="1:23" s="43" customFormat="1" x14ac:dyDescent="0.25">
      <c r="A127" s="15">
        <v>107</v>
      </c>
      <c r="B127" s="15">
        <v>32344</v>
      </c>
      <c r="C127" s="16" t="s">
        <v>228</v>
      </c>
      <c r="D127" s="45"/>
      <c r="E127" s="185"/>
      <c r="F127" s="185"/>
      <c r="G127" s="42">
        <v>500</v>
      </c>
      <c r="H127" s="42"/>
      <c r="I127" s="42"/>
      <c r="J127" s="8">
        <f t="shared" si="73"/>
        <v>0</v>
      </c>
      <c r="K127" s="98">
        <f t="shared" si="70"/>
        <v>0</v>
      </c>
      <c r="L127" s="103">
        <v>11</v>
      </c>
      <c r="M127" s="77">
        <v>11</v>
      </c>
      <c r="N127" s="76">
        <v>11</v>
      </c>
      <c r="O127" s="76">
        <v>11</v>
      </c>
      <c r="P127" s="102">
        <v>11</v>
      </c>
      <c r="Q127" s="74" t="s">
        <v>563</v>
      </c>
      <c r="R127" s="74" t="s">
        <v>563</v>
      </c>
      <c r="S127" s="74" t="s">
        <v>563</v>
      </c>
      <c r="T127" s="113" t="s">
        <v>563</v>
      </c>
      <c r="U127" s="113" t="s">
        <v>563</v>
      </c>
    </row>
    <row r="128" spans="1:23" s="43" customFormat="1" x14ac:dyDescent="0.25">
      <c r="A128" s="20"/>
      <c r="B128" s="15">
        <v>32345</v>
      </c>
      <c r="C128" s="16" t="s">
        <v>880</v>
      </c>
      <c r="D128" s="45"/>
      <c r="E128" s="185">
        <v>9045.94</v>
      </c>
      <c r="F128" s="185">
        <v>26983.31</v>
      </c>
      <c r="G128" s="42">
        <v>16000</v>
      </c>
      <c r="H128" s="42">
        <v>23000</v>
      </c>
      <c r="I128" s="42">
        <v>26983.31</v>
      </c>
      <c r="J128" s="8">
        <f t="shared" si="73"/>
        <v>254.25771119419318</v>
      </c>
      <c r="K128" s="98"/>
      <c r="L128" s="103">
        <v>11</v>
      </c>
      <c r="M128" s="77">
        <v>11</v>
      </c>
      <c r="N128" s="76">
        <v>11</v>
      </c>
      <c r="O128" s="76">
        <v>11</v>
      </c>
      <c r="P128" s="102">
        <v>11</v>
      </c>
      <c r="Q128" s="118" t="s">
        <v>627</v>
      </c>
      <c r="R128" s="118" t="s">
        <v>627</v>
      </c>
      <c r="S128" s="118" t="s">
        <v>627</v>
      </c>
      <c r="T128" s="118" t="s">
        <v>627</v>
      </c>
      <c r="U128" s="118" t="s">
        <v>627</v>
      </c>
      <c r="V128" s="25"/>
      <c r="W128" s="25"/>
    </row>
    <row r="129" spans="1:25" s="254" customFormat="1" x14ac:dyDescent="0.25">
      <c r="A129" s="243"/>
      <c r="B129" s="244">
        <v>32346</v>
      </c>
      <c r="C129" s="245" t="s">
        <v>943</v>
      </c>
      <c r="D129" s="246"/>
      <c r="E129" s="185">
        <v>7192.34</v>
      </c>
      <c r="F129" s="185">
        <v>17927.77</v>
      </c>
      <c r="G129" s="42">
        <v>13000</v>
      </c>
      <c r="H129" s="42">
        <v>17000</v>
      </c>
      <c r="I129" s="42">
        <v>17927.77</v>
      </c>
      <c r="J129" s="182">
        <f t="shared" si="73"/>
        <v>236.362574628007</v>
      </c>
      <c r="K129" s="255"/>
      <c r="L129" s="103">
        <v>31</v>
      </c>
      <c r="M129" s="77">
        <v>31</v>
      </c>
      <c r="N129" s="76">
        <v>31</v>
      </c>
      <c r="O129" s="76">
        <v>31</v>
      </c>
      <c r="P129" s="102">
        <v>31</v>
      </c>
      <c r="Q129" s="74" t="s">
        <v>615</v>
      </c>
      <c r="R129" s="74" t="s">
        <v>615</v>
      </c>
      <c r="S129" s="74" t="s">
        <v>615</v>
      </c>
      <c r="T129" s="109" t="s">
        <v>615</v>
      </c>
      <c r="U129" s="109" t="s">
        <v>615</v>
      </c>
      <c r="V129" s="46"/>
      <c r="W129" s="46"/>
    </row>
    <row r="130" spans="1:25" s="46" customFormat="1" x14ac:dyDescent="0.25">
      <c r="A130" s="15">
        <v>108</v>
      </c>
      <c r="B130" s="15">
        <v>323491</v>
      </c>
      <c r="C130" s="16" t="s">
        <v>229</v>
      </c>
      <c r="D130" s="45"/>
      <c r="E130" s="185">
        <v>6967.82</v>
      </c>
      <c r="F130" s="185">
        <v>7963.24</v>
      </c>
      <c r="G130" s="42">
        <v>8000</v>
      </c>
      <c r="H130" s="42">
        <v>8000</v>
      </c>
      <c r="I130" s="42">
        <v>7963.24</v>
      </c>
      <c r="J130" s="8">
        <f t="shared" si="73"/>
        <v>114.81352847806056</v>
      </c>
      <c r="K130" s="98">
        <f t="shared" si="70"/>
        <v>100</v>
      </c>
      <c r="L130" s="248">
        <v>11</v>
      </c>
      <c r="M130" s="249">
        <v>11</v>
      </c>
      <c r="N130" s="250">
        <v>11</v>
      </c>
      <c r="O130" s="250">
        <v>11</v>
      </c>
      <c r="P130" s="251">
        <v>11</v>
      </c>
      <c r="Q130" s="252" t="s">
        <v>615</v>
      </c>
      <c r="R130" s="252" t="s">
        <v>615</v>
      </c>
      <c r="S130" s="252" t="s">
        <v>615</v>
      </c>
      <c r="T130" s="256" t="s">
        <v>615</v>
      </c>
      <c r="U130" s="256" t="s">
        <v>615</v>
      </c>
      <c r="V130" s="25"/>
      <c r="W130" s="25"/>
      <c r="X130" s="25"/>
      <c r="Y130" s="25"/>
    </row>
    <row r="131" spans="1:25" s="46" customFormat="1" x14ac:dyDescent="0.25">
      <c r="A131" s="15"/>
      <c r="B131" s="15">
        <v>3234912</v>
      </c>
      <c r="C131" s="16" t="s">
        <v>807</v>
      </c>
      <c r="D131" s="45"/>
      <c r="E131" s="185">
        <v>6847.3</v>
      </c>
      <c r="F131" s="185">
        <v>13615.63</v>
      </c>
      <c r="G131" s="42">
        <v>20000</v>
      </c>
      <c r="H131" s="42">
        <v>14000</v>
      </c>
      <c r="I131" s="42">
        <v>13615.63</v>
      </c>
      <c r="J131" s="8"/>
      <c r="K131" s="98"/>
      <c r="L131" s="103">
        <v>11</v>
      </c>
      <c r="M131" s="77">
        <v>11</v>
      </c>
      <c r="N131" s="76">
        <v>11</v>
      </c>
      <c r="O131" s="76">
        <v>11</v>
      </c>
      <c r="P131" s="102">
        <v>11</v>
      </c>
      <c r="Q131" s="74" t="s">
        <v>627</v>
      </c>
      <c r="R131" s="74" t="s">
        <v>627</v>
      </c>
      <c r="S131" s="74" t="s">
        <v>627</v>
      </c>
      <c r="T131" s="109" t="s">
        <v>627</v>
      </c>
      <c r="U131" s="109" t="s">
        <v>627</v>
      </c>
      <c r="V131" s="43"/>
      <c r="W131" s="43"/>
      <c r="X131" s="25"/>
      <c r="Y131" s="25"/>
    </row>
    <row r="132" spans="1:25" s="43" customFormat="1" x14ac:dyDescent="0.25">
      <c r="A132" s="15">
        <v>109</v>
      </c>
      <c r="B132" s="15">
        <v>323492</v>
      </c>
      <c r="C132" s="16" t="s">
        <v>230</v>
      </c>
      <c r="D132" s="45"/>
      <c r="E132" s="185">
        <v>49337.26</v>
      </c>
      <c r="F132" s="185">
        <v>112433.26</v>
      </c>
      <c r="G132" s="42">
        <v>100000</v>
      </c>
      <c r="H132" s="42">
        <v>120000</v>
      </c>
      <c r="I132" s="42">
        <v>112433.26</v>
      </c>
      <c r="J132" s="8">
        <f t="shared" ref="J132:J157" si="74">IFERROR(SUM(H132/E132),0)*100</f>
        <v>243.22388393680555</v>
      </c>
      <c r="K132" s="98">
        <f t="shared" si="70"/>
        <v>120</v>
      </c>
      <c r="L132" s="103">
        <v>11</v>
      </c>
      <c r="M132" s="77">
        <v>11</v>
      </c>
      <c r="N132" s="76">
        <v>11</v>
      </c>
      <c r="O132" s="76">
        <v>11</v>
      </c>
      <c r="P132" s="102">
        <v>11</v>
      </c>
      <c r="Q132" s="74" t="s">
        <v>651</v>
      </c>
      <c r="R132" s="74" t="s">
        <v>651</v>
      </c>
      <c r="S132" s="74" t="s">
        <v>651</v>
      </c>
      <c r="T132" s="113" t="s">
        <v>651</v>
      </c>
      <c r="U132" s="113" t="s">
        <v>651</v>
      </c>
      <c r="V132" s="41"/>
      <c r="W132" s="41"/>
    </row>
    <row r="133" spans="1:25" s="41" customFormat="1" x14ac:dyDescent="0.25">
      <c r="A133" s="15">
        <v>110</v>
      </c>
      <c r="B133" s="15">
        <v>323493</v>
      </c>
      <c r="C133" s="16" t="s">
        <v>231</v>
      </c>
      <c r="D133" s="45"/>
      <c r="E133" s="185">
        <v>4549.8</v>
      </c>
      <c r="F133" s="185">
        <v>8714.19</v>
      </c>
      <c r="G133" s="42">
        <v>8000</v>
      </c>
      <c r="H133" s="42">
        <v>9000</v>
      </c>
      <c r="I133" s="42">
        <v>8714.19</v>
      </c>
      <c r="J133" s="8">
        <f t="shared" si="74"/>
        <v>197.81089278649611</v>
      </c>
      <c r="K133" s="98">
        <f t="shared" si="70"/>
        <v>112.5</v>
      </c>
      <c r="L133" s="103">
        <v>11</v>
      </c>
      <c r="M133" s="77">
        <v>11</v>
      </c>
      <c r="N133" s="76">
        <v>11</v>
      </c>
      <c r="O133" s="76">
        <v>11</v>
      </c>
      <c r="P133" s="102">
        <v>11</v>
      </c>
      <c r="Q133" s="74" t="s">
        <v>563</v>
      </c>
      <c r="R133" s="74" t="s">
        <v>563</v>
      </c>
      <c r="S133" s="74" t="s">
        <v>563</v>
      </c>
      <c r="T133" s="112" t="s">
        <v>563</v>
      </c>
      <c r="U133" s="112" t="s">
        <v>563</v>
      </c>
      <c r="V133" s="43"/>
      <c r="W133" s="43"/>
    </row>
    <row r="134" spans="1:25" s="43" customFormat="1" x14ac:dyDescent="0.25">
      <c r="A134" s="15">
        <v>112</v>
      </c>
      <c r="B134" s="15">
        <v>323495</v>
      </c>
      <c r="C134" s="16" t="s">
        <v>232</v>
      </c>
      <c r="D134" s="45"/>
      <c r="E134" s="185">
        <v>11875.5</v>
      </c>
      <c r="F134" s="185">
        <v>11875.5</v>
      </c>
      <c r="G134" s="42">
        <v>13000</v>
      </c>
      <c r="H134" s="42">
        <v>33000</v>
      </c>
      <c r="I134" s="42">
        <v>11875.5</v>
      </c>
      <c r="J134" s="8">
        <f t="shared" si="74"/>
        <v>277.88303650372615</v>
      </c>
      <c r="K134" s="98">
        <f t="shared" si="70"/>
        <v>253.84615384615384</v>
      </c>
      <c r="L134" s="103">
        <v>11</v>
      </c>
      <c r="M134" s="77">
        <v>11</v>
      </c>
      <c r="N134" s="76">
        <v>11</v>
      </c>
      <c r="O134" s="76">
        <v>11</v>
      </c>
      <c r="P134" s="102">
        <v>11</v>
      </c>
      <c r="Q134" s="74" t="s">
        <v>633</v>
      </c>
      <c r="R134" s="74" t="s">
        <v>633</v>
      </c>
      <c r="S134" s="74" t="s">
        <v>633</v>
      </c>
      <c r="T134" s="113" t="s">
        <v>633</v>
      </c>
      <c r="U134" s="113" t="s">
        <v>633</v>
      </c>
      <c r="V134" s="41"/>
      <c r="W134" s="41"/>
    </row>
    <row r="135" spans="1:25" s="41" customFormat="1" x14ac:dyDescent="0.25">
      <c r="A135" s="15">
        <v>113</v>
      </c>
      <c r="B135" s="15">
        <v>323496</v>
      </c>
      <c r="C135" s="16" t="s">
        <v>233</v>
      </c>
      <c r="D135" s="45"/>
      <c r="E135" s="185">
        <v>8100</v>
      </c>
      <c r="F135" s="185">
        <v>19350</v>
      </c>
      <c r="G135" s="42">
        <v>13000</v>
      </c>
      <c r="H135" s="42">
        <v>23000</v>
      </c>
      <c r="I135" s="42">
        <v>19350</v>
      </c>
      <c r="J135" s="8">
        <f t="shared" si="74"/>
        <v>283.95061728395063</v>
      </c>
      <c r="K135" s="98">
        <f t="shared" si="70"/>
        <v>176.92307692307691</v>
      </c>
      <c r="L135" s="103">
        <v>11</v>
      </c>
      <c r="M135" s="77">
        <v>11</v>
      </c>
      <c r="N135" s="76">
        <v>11</v>
      </c>
      <c r="O135" s="76">
        <v>11</v>
      </c>
      <c r="P135" s="102">
        <v>11</v>
      </c>
      <c r="Q135" s="74" t="s">
        <v>633</v>
      </c>
      <c r="R135" s="74" t="s">
        <v>633</v>
      </c>
      <c r="S135" s="74" t="s">
        <v>633</v>
      </c>
      <c r="T135" s="112" t="s">
        <v>633</v>
      </c>
      <c r="U135" s="112" t="s">
        <v>633</v>
      </c>
      <c r="V135" s="43"/>
      <c r="W135" s="43"/>
    </row>
    <row r="136" spans="1:25" s="43" customFormat="1" x14ac:dyDescent="0.25">
      <c r="A136" s="15">
        <v>114</v>
      </c>
      <c r="B136" s="15">
        <v>323497</v>
      </c>
      <c r="C136" s="16" t="s">
        <v>234</v>
      </c>
      <c r="D136" s="45"/>
      <c r="E136" s="185"/>
      <c r="F136" s="185"/>
      <c r="G136" s="42"/>
      <c r="H136" s="42"/>
      <c r="I136" s="42"/>
      <c r="J136" s="8">
        <f t="shared" si="74"/>
        <v>0</v>
      </c>
      <c r="K136" s="98">
        <f t="shared" si="70"/>
        <v>0</v>
      </c>
      <c r="L136" s="103">
        <v>11</v>
      </c>
      <c r="M136" s="77">
        <v>11</v>
      </c>
      <c r="N136" s="76">
        <v>11</v>
      </c>
      <c r="O136" s="76">
        <v>11</v>
      </c>
      <c r="P136" s="102">
        <v>11</v>
      </c>
      <c r="Q136" s="74" t="s">
        <v>627</v>
      </c>
      <c r="R136" s="74" t="s">
        <v>627</v>
      </c>
      <c r="S136" s="74" t="s">
        <v>627</v>
      </c>
      <c r="T136" s="113" t="s">
        <v>627</v>
      </c>
      <c r="U136" s="113" t="s">
        <v>627</v>
      </c>
    </row>
    <row r="137" spans="1:25" s="43" customFormat="1" x14ac:dyDescent="0.25">
      <c r="A137" s="15"/>
      <c r="B137" s="15">
        <v>323499</v>
      </c>
      <c r="C137" s="16" t="s">
        <v>429</v>
      </c>
      <c r="D137" s="45"/>
      <c r="E137" s="185">
        <v>688.74</v>
      </c>
      <c r="F137" s="185">
        <v>1377.48</v>
      </c>
      <c r="G137" s="42">
        <v>1500</v>
      </c>
      <c r="H137" s="42">
        <v>1500</v>
      </c>
      <c r="I137" s="42">
        <v>1377.48</v>
      </c>
      <c r="J137" s="8">
        <f t="shared" si="74"/>
        <v>217.78900601097658</v>
      </c>
      <c r="K137" s="98">
        <f t="shared" si="70"/>
        <v>100</v>
      </c>
      <c r="L137" s="103">
        <v>11</v>
      </c>
      <c r="M137" s="77">
        <v>11</v>
      </c>
      <c r="N137" s="76">
        <v>11</v>
      </c>
      <c r="O137" s="76">
        <v>11</v>
      </c>
      <c r="P137" s="102">
        <v>11</v>
      </c>
      <c r="Q137" s="74" t="s">
        <v>651</v>
      </c>
      <c r="R137" s="74" t="s">
        <v>651</v>
      </c>
      <c r="S137" s="74" t="s">
        <v>651</v>
      </c>
      <c r="T137" s="113" t="s">
        <v>651</v>
      </c>
      <c r="U137" s="113" t="s">
        <v>651</v>
      </c>
    </row>
    <row r="138" spans="1:25" s="43" customFormat="1" x14ac:dyDescent="0.25">
      <c r="A138" s="20">
        <v>115</v>
      </c>
      <c r="B138" s="20">
        <v>323498</v>
      </c>
      <c r="C138" s="21" t="s">
        <v>886</v>
      </c>
      <c r="D138" s="155"/>
      <c r="E138" s="189"/>
      <c r="F138" s="189"/>
      <c r="G138" s="44"/>
      <c r="H138" s="44"/>
      <c r="I138" s="44"/>
      <c r="J138" s="8">
        <f t="shared" si="74"/>
        <v>0</v>
      </c>
      <c r="K138" s="98">
        <f t="shared" si="70"/>
        <v>0</v>
      </c>
      <c r="L138" s="103">
        <v>11</v>
      </c>
      <c r="M138" s="77">
        <v>11</v>
      </c>
      <c r="N138" s="76">
        <v>11</v>
      </c>
      <c r="O138" s="76">
        <v>11</v>
      </c>
      <c r="P138" s="102">
        <v>11</v>
      </c>
      <c r="Q138" s="74" t="s">
        <v>627</v>
      </c>
      <c r="R138" s="74" t="s">
        <v>627</v>
      </c>
      <c r="S138" s="74" t="s">
        <v>627</v>
      </c>
      <c r="T138" s="113" t="s">
        <v>627</v>
      </c>
      <c r="U138" s="113" t="s">
        <v>627</v>
      </c>
    </row>
    <row r="139" spans="1:25" s="43" customFormat="1" x14ac:dyDescent="0.25">
      <c r="A139" s="20"/>
      <c r="B139" s="20"/>
      <c r="C139" s="21" t="s">
        <v>430</v>
      </c>
      <c r="D139" s="155"/>
      <c r="E139" s="189"/>
      <c r="F139" s="189">
        <v>64600</v>
      </c>
      <c r="G139" s="44"/>
      <c r="H139" s="44">
        <v>65000</v>
      </c>
      <c r="I139" s="44">
        <v>64600</v>
      </c>
      <c r="J139" s="8">
        <f t="shared" si="74"/>
        <v>0</v>
      </c>
      <c r="K139" s="98">
        <f t="shared" si="70"/>
        <v>0</v>
      </c>
      <c r="L139" s="103">
        <v>41</v>
      </c>
      <c r="M139" s="77">
        <v>41</v>
      </c>
      <c r="N139" s="76">
        <v>41</v>
      </c>
      <c r="O139" s="76">
        <v>41</v>
      </c>
      <c r="P139" s="102">
        <v>41</v>
      </c>
      <c r="Q139" s="74" t="s">
        <v>627</v>
      </c>
      <c r="R139" s="74" t="s">
        <v>627</v>
      </c>
      <c r="S139" s="74" t="s">
        <v>627</v>
      </c>
      <c r="T139" s="74" t="s">
        <v>627</v>
      </c>
      <c r="U139" s="74" t="s">
        <v>627</v>
      </c>
      <c r="V139" s="41"/>
      <c r="W139" s="41"/>
    </row>
    <row r="140" spans="1:25" s="41" customFormat="1" x14ac:dyDescent="0.25">
      <c r="A140" s="15">
        <v>116</v>
      </c>
      <c r="B140" s="15">
        <v>3234911</v>
      </c>
      <c r="C140" s="16" t="s">
        <v>235</v>
      </c>
      <c r="D140" s="45"/>
      <c r="E140" s="185">
        <v>2551.9699999999998</v>
      </c>
      <c r="F140" s="185">
        <v>7900.05</v>
      </c>
      <c r="G140" s="42">
        <v>5500</v>
      </c>
      <c r="H140" s="42">
        <v>7500</v>
      </c>
      <c r="I140" s="42">
        <v>7900.05</v>
      </c>
      <c r="J140" s="8">
        <f t="shared" si="74"/>
        <v>293.89060216225118</v>
      </c>
      <c r="K140" s="98">
        <f t="shared" si="70"/>
        <v>136.36363636363635</v>
      </c>
      <c r="L140" s="103">
        <v>11</v>
      </c>
      <c r="M140" s="77">
        <v>11</v>
      </c>
      <c r="N140" s="76">
        <v>11</v>
      </c>
      <c r="O140" s="76">
        <v>11</v>
      </c>
      <c r="P140" s="102">
        <v>11</v>
      </c>
      <c r="Q140" s="74" t="s">
        <v>647</v>
      </c>
      <c r="R140" s="74" t="s">
        <v>647</v>
      </c>
      <c r="S140" s="74" t="s">
        <v>647</v>
      </c>
      <c r="T140" s="112" t="s">
        <v>647</v>
      </c>
      <c r="U140" s="112" t="s">
        <v>647</v>
      </c>
      <c r="V140" s="43"/>
      <c r="W140" s="43"/>
    </row>
    <row r="141" spans="1:25" s="43" customFormat="1" x14ac:dyDescent="0.25">
      <c r="A141" s="37"/>
      <c r="B141" s="37">
        <v>3235</v>
      </c>
      <c r="C141" s="38" t="s">
        <v>236</v>
      </c>
      <c r="D141" s="39">
        <f t="shared" ref="D141:I141" si="75">SUM(D142)</f>
        <v>0</v>
      </c>
      <c r="E141" s="184">
        <f t="shared" si="75"/>
        <v>365.75</v>
      </c>
      <c r="F141" s="184">
        <f t="shared" si="75"/>
        <v>365.75</v>
      </c>
      <c r="G141" s="39">
        <f t="shared" si="75"/>
        <v>1000</v>
      </c>
      <c r="H141" s="39">
        <f t="shared" si="75"/>
        <v>1000</v>
      </c>
      <c r="I141" s="39">
        <f t="shared" si="75"/>
        <v>365.75</v>
      </c>
      <c r="J141" s="8">
        <f t="shared" si="74"/>
        <v>273.41079972658918</v>
      </c>
      <c r="K141" s="98">
        <f t="shared" si="70"/>
        <v>100</v>
      </c>
      <c r="V141" s="25"/>
      <c r="W141" s="25"/>
    </row>
    <row r="142" spans="1:25" x14ac:dyDescent="0.25">
      <c r="A142" s="15">
        <v>117</v>
      </c>
      <c r="B142" s="15">
        <v>32354</v>
      </c>
      <c r="C142" s="16" t="s">
        <v>237</v>
      </c>
      <c r="D142" s="45"/>
      <c r="E142" s="185">
        <v>365.75</v>
      </c>
      <c r="F142" s="185">
        <v>365.75</v>
      </c>
      <c r="G142" s="42">
        <v>1000</v>
      </c>
      <c r="H142" s="42">
        <v>1000</v>
      </c>
      <c r="I142" s="42">
        <v>365.75</v>
      </c>
      <c r="J142" s="8">
        <f t="shared" si="74"/>
        <v>273.41079972658918</v>
      </c>
      <c r="K142" s="98">
        <f t="shared" si="70"/>
        <v>100</v>
      </c>
      <c r="L142" s="103">
        <v>11</v>
      </c>
      <c r="M142" s="77">
        <v>11</v>
      </c>
      <c r="N142" s="76">
        <v>11</v>
      </c>
      <c r="O142" s="76">
        <v>11</v>
      </c>
      <c r="P142" s="102">
        <v>11</v>
      </c>
      <c r="Q142" s="74" t="s">
        <v>563</v>
      </c>
      <c r="R142" s="74" t="s">
        <v>563</v>
      </c>
      <c r="S142" s="74" t="s">
        <v>563</v>
      </c>
      <c r="T142" s="109" t="s">
        <v>563</v>
      </c>
      <c r="U142" s="109" t="s">
        <v>563</v>
      </c>
      <c r="V142" s="43"/>
      <c r="W142" s="43"/>
    </row>
    <row r="143" spans="1:25" s="43" customFormat="1" x14ac:dyDescent="0.25">
      <c r="A143" s="37"/>
      <c r="B143" s="37">
        <v>3236</v>
      </c>
      <c r="C143" s="38" t="s">
        <v>238</v>
      </c>
      <c r="D143" s="39">
        <f t="shared" ref="D143:I143" si="76">SUM(D144:D146)</f>
        <v>0</v>
      </c>
      <c r="E143" s="184">
        <f>SUM(E144:E146)</f>
        <v>5115.32</v>
      </c>
      <c r="F143" s="184">
        <f t="shared" ref="F143" si="77">SUM(F144:F146)</f>
        <v>7084.45</v>
      </c>
      <c r="G143" s="39">
        <f t="shared" si="76"/>
        <v>31000</v>
      </c>
      <c r="H143" s="39">
        <f>SUM(H144:H146)</f>
        <v>10000</v>
      </c>
      <c r="I143" s="39">
        <f t="shared" si="76"/>
        <v>7084.45</v>
      </c>
      <c r="J143" s="8">
        <f t="shared" si="74"/>
        <v>195.49119116692603</v>
      </c>
      <c r="K143" s="98">
        <f t="shared" si="70"/>
        <v>32.258064516129032</v>
      </c>
    </row>
    <row r="144" spans="1:25" s="43" customFormat="1" x14ac:dyDescent="0.25">
      <c r="A144" s="15">
        <v>118</v>
      </c>
      <c r="B144" s="15">
        <v>32361</v>
      </c>
      <c r="C144" s="16" t="s">
        <v>239</v>
      </c>
      <c r="D144" s="45"/>
      <c r="E144" s="185"/>
      <c r="F144" s="185"/>
      <c r="G144" s="42">
        <v>1000</v>
      </c>
      <c r="H144" s="42"/>
      <c r="I144" s="42"/>
      <c r="J144" s="8">
        <f t="shared" si="74"/>
        <v>0</v>
      </c>
      <c r="K144" s="98">
        <f t="shared" si="70"/>
        <v>0</v>
      </c>
      <c r="L144" s="103">
        <v>11</v>
      </c>
      <c r="M144" s="77">
        <v>11</v>
      </c>
      <c r="N144" s="76">
        <v>11</v>
      </c>
      <c r="O144" s="76">
        <v>11</v>
      </c>
      <c r="P144" s="102">
        <v>11</v>
      </c>
      <c r="Q144" s="74" t="s">
        <v>563</v>
      </c>
      <c r="R144" s="74" t="s">
        <v>563</v>
      </c>
      <c r="S144" s="74" t="s">
        <v>563</v>
      </c>
      <c r="T144" s="113" t="s">
        <v>563</v>
      </c>
      <c r="U144" s="113" t="s">
        <v>563</v>
      </c>
    </row>
    <row r="145" spans="1:23" s="43" customFormat="1" x14ac:dyDescent="0.25">
      <c r="A145" s="15">
        <v>119</v>
      </c>
      <c r="B145" s="15">
        <v>32362</v>
      </c>
      <c r="C145" s="16" t="s">
        <v>240</v>
      </c>
      <c r="D145" s="45"/>
      <c r="E145" s="185"/>
      <c r="F145" s="185"/>
      <c r="G145" s="42">
        <v>3000</v>
      </c>
      <c r="H145" s="42"/>
      <c r="I145" s="42"/>
      <c r="J145" s="8">
        <f t="shared" si="74"/>
        <v>0</v>
      </c>
      <c r="K145" s="98">
        <f t="shared" si="70"/>
        <v>0</v>
      </c>
      <c r="L145" s="103">
        <v>11</v>
      </c>
      <c r="M145" s="77">
        <v>11</v>
      </c>
      <c r="N145" s="76">
        <v>11</v>
      </c>
      <c r="O145" s="76">
        <v>11</v>
      </c>
      <c r="P145" s="102">
        <v>11</v>
      </c>
      <c r="Q145" s="74" t="s">
        <v>651</v>
      </c>
      <c r="R145" s="74" t="s">
        <v>651</v>
      </c>
      <c r="S145" s="74" t="s">
        <v>651</v>
      </c>
      <c r="T145" s="113" t="s">
        <v>651</v>
      </c>
      <c r="U145" s="113" t="s">
        <v>651</v>
      </c>
    </row>
    <row r="146" spans="1:23" s="43" customFormat="1" x14ac:dyDescent="0.25">
      <c r="A146" s="15">
        <v>120</v>
      </c>
      <c r="B146" s="15">
        <v>32369</v>
      </c>
      <c r="C146" s="16" t="s">
        <v>241</v>
      </c>
      <c r="D146" s="45"/>
      <c r="E146" s="185">
        <v>5115.32</v>
      </c>
      <c r="F146" s="185">
        <v>7084.45</v>
      </c>
      <c r="G146" s="42">
        <v>27000</v>
      </c>
      <c r="H146" s="42">
        <v>10000</v>
      </c>
      <c r="I146" s="42">
        <v>7084.45</v>
      </c>
      <c r="J146" s="8">
        <f t="shared" si="74"/>
        <v>195.49119116692603</v>
      </c>
      <c r="K146" s="98">
        <f t="shared" si="70"/>
        <v>37.037037037037038</v>
      </c>
      <c r="L146" s="103">
        <v>11</v>
      </c>
      <c r="M146" s="77">
        <v>11</v>
      </c>
      <c r="N146" s="76">
        <v>11</v>
      </c>
      <c r="O146" s="76">
        <v>11</v>
      </c>
      <c r="P146" s="102">
        <v>11</v>
      </c>
      <c r="Q146" s="74" t="s">
        <v>651</v>
      </c>
      <c r="R146" s="74" t="s">
        <v>651</v>
      </c>
      <c r="S146" s="74" t="s">
        <v>651</v>
      </c>
      <c r="T146" s="113" t="s">
        <v>651</v>
      </c>
      <c r="U146" s="113" t="s">
        <v>651</v>
      </c>
      <c r="V146" s="25"/>
      <c r="W146" s="25"/>
    </row>
    <row r="147" spans="1:23" x14ac:dyDescent="0.25">
      <c r="A147" s="37"/>
      <c r="B147" s="37">
        <v>3237</v>
      </c>
      <c r="C147" s="38" t="s">
        <v>242</v>
      </c>
      <c r="D147" s="39">
        <f t="shared" ref="D147:I147" si="78">SUM(D148:D155)</f>
        <v>0</v>
      </c>
      <c r="E147" s="184">
        <f>SUM(E148:E155)</f>
        <v>20039.23</v>
      </c>
      <c r="F147" s="184">
        <f t="shared" ref="F147" si="79">SUM(F148:F155)</f>
        <v>42906.63</v>
      </c>
      <c r="G147" s="39">
        <f t="shared" si="78"/>
        <v>99500</v>
      </c>
      <c r="H147" s="39">
        <f>SUM(H148:H155)</f>
        <v>80500</v>
      </c>
      <c r="I147" s="39">
        <f t="shared" si="78"/>
        <v>42906.63</v>
      </c>
      <c r="J147" s="8">
        <f t="shared" si="74"/>
        <v>401.71204182995052</v>
      </c>
      <c r="K147" s="98">
        <f t="shared" si="70"/>
        <v>80.904522613065325</v>
      </c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43"/>
      <c r="W147" s="43"/>
    </row>
    <row r="148" spans="1:23" s="43" customFormat="1" x14ac:dyDescent="0.25">
      <c r="A148" s="15">
        <v>121</v>
      </c>
      <c r="B148" s="15">
        <v>32371</v>
      </c>
      <c r="C148" s="16" t="s">
        <v>243</v>
      </c>
      <c r="D148" s="45"/>
      <c r="E148" s="185">
        <v>1212.6300000000001</v>
      </c>
      <c r="F148" s="185">
        <v>2645.24</v>
      </c>
      <c r="G148" s="42">
        <v>3000</v>
      </c>
      <c r="H148" s="42">
        <v>3000</v>
      </c>
      <c r="I148" s="42">
        <v>2645.24</v>
      </c>
      <c r="J148" s="8">
        <f t="shared" si="74"/>
        <v>247.39615546374404</v>
      </c>
      <c r="K148" s="98">
        <f t="shared" si="70"/>
        <v>100</v>
      </c>
      <c r="L148" s="103">
        <v>11</v>
      </c>
      <c r="M148" s="77">
        <v>11</v>
      </c>
      <c r="N148" s="76">
        <v>11</v>
      </c>
      <c r="O148" s="76">
        <v>11</v>
      </c>
      <c r="P148" s="102">
        <v>11</v>
      </c>
      <c r="Q148" s="74" t="s">
        <v>563</v>
      </c>
      <c r="R148" s="74" t="s">
        <v>563</v>
      </c>
      <c r="S148" s="74" t="s">
        <v>563</v>
      </c>
      <c r="T148" s="113" t="s">
        <v>563</v>
      </c>
      <c r="U148" s="113" t="s">
        <v>563</v>
      </c>
      <c r="V148" s="41"/>
      <c r="W148" s="41"/>
    </row>
    <row r="149" spans="1:23" s="41" customFormat="1" x14ac:dyDescent="0.25">
      <c r="A149" s="20">
        <v>122</v>
      </c>
      <c r="B149" s="20">
        <v>32372</v>
      </c>
      <c r="C149" s="21" t="s">
        <v>244</v>
      </c>
      <c r="D149" s="155"/>
      <c r="E149" s="185">
        <v>301.76</v>
      </c>
      <c r="F149" s="185">
        <v>3192.19</v>
      </c>
      <c r="G149" s="42">
        <v>6500</v>
      </c>
      <c r="H149" s="42">
        <v>4500</v>
      </c>
      <c r="I149" s="42">
        <v>3192.19</v>
      </c>
      <c r="J149" s="8">
        <f t="shared" si="74"/>
        <v>1491.2513255567339</v>
      </c>
      <c r="K149" s="98">
        <f t="shared" si="70"/>
        <v>69.230769230769226</v>
      </c>
      <c r="L149" s="103">
        <v>11</v>
      </c>
      <c r="M149" s="77">
        <v>11</v>
      </c>
      <c r="N149" s="76">
        <v>11</v>
      </c>
      <c r="O149" s="76">
        <v>11</v>
      </c>
      <c r="P149" s="102">
        <v>11</v>
      </c>
      <c r="Q149" s="74" t="s">
        <v>563</v>
      </c>
      <c r="R149" s="74" t="s">
        <v>563</v>
      </c>
      <c r="S149" s="74" t="s">
        <v>563</v>
      </c>
      <c r="T149" s="112" t="s">
        <v>563</v>
      </c>
      <c r="U149" s="112" t="s">
        <v>563</v>
      </c>
      <c r="V149" s="43"/>
      <c r="W149" s="43"/>
    </row>
    <row r="150" spans="1:23" s="43" customFormat="1" x14ac:dyDescent="0.25">
      <c r="A150" s="15">
        <v>123</v>
      </c>
      <c r="B150" s="15">
        <v>32373</v>
      </c>
      <c r="C150" s="16" t="s">
        <v>245</v>
      </c>
      <c r="D150" s="45"/>
      <c r="E150" s="185">
        <v>1493.1</v>
      </c>
      <c r="F150" s="185">
        <v>2986.2</v>
      </c>
      <c r="G150" s="42">
        <v>6500</v>
      </c>
      <c r="H150" s="42">
        <v>4500</v>
      </c>
      <c r="I150" s="42">
        <v>2986.2</v>
      </c>
      <c r="J150" s="8">
        <f t="shared" si="74"/>
        <v>301.38637733574444</v>
      </c>
      <c r="K150" s="98">
        <f t="shared" si="70"/>
        <v>69.230769230769226</v>
      </c>
      <c r="L150" s="103">
        <v>11</v>
      </c>
      <c r="M150" s="77">
        <v>11</v>
      </c>
      <c r="N150" s="76">
        <v>11</v>
      </c>
      <c r="O150" s="76">
        <v>11</v>
      </c>
      <c r="P150" s="102">
        <v>11</v>
      </c>
      <c r="Q150" s="74" t="s">
        <v>563</v>
      </c>
      <c r="R150" s="74" t="s">
        <v>563</v>
      </c>
      <c r="S150" s="74" t="s">
        <v>563</v>
      </c>
      <c r="T150" s="113" t="s">
        <v>563</v>
      </c>
      <c r="U150" s="113" t="s">
        <v>563</v>
      </c>
    </row>
    <row r="151" spans="1:23" s="43" customFormat="1" x14ac:dyDescent="0.25">
      <c r="A151" s="15">
        <v>124</v>
      </c>
      <c r="B151" s="15">
        <v>32375</v>
      </c>
      <c r="C151" s="16" t="s">
        <v>246</v>
      </c>
      <c r="D151" s="45"/>
      <c r="E151" s="185">
        <v>6217.33</v>
      </c>
      <c r="F151" s="185">
        <v>13992.34</v>
      </c>
      <c r="G151" s="42">
        <v>6500</v>
      </c>
      <c r="H151" s="42">
        <v>36500</v>
      </c>
      <c r="I151" s="42">
        <v>13992.34</v>
      </c>
      <c r="J151" s="8">
        <f t="shared" si="74"/>
        <v>587.0687256426794</v>
      </c>
      <c r="K151" s="98">
        <f t="shared" si="70"/>
        <v>561.53846153846155</v>
      </c>
      <c r="L151" s="103">
        <v>31</v>
      </c>
      <c r="M151" s="77">
        <v>31</v>
      </c>
      <c r="N151" s="76">
        <v>31</v>
      </c>
      <c r="O151" s="76">
        <v>31</v>
      </c>
      <c r="P151" s="102">
        <v>31</v>
      </c>
      <c r="Q151" s="74" t="s">
        <v>563</v>
      </c>
      <c r="R151" s="74" t="s">
        <v>563</v>
      </c>
      <c r="S151" s="74" t="s">
        <v>563</v>
      </c>
      <c r="T151" s="113" t="s">
        <v>563</v>
      </c>
      <c r="U151" s="113" t="s">
        <v>563</v>
      </c>
      <c r="V151" s="41"/>
      <c r="W151" s="41"/>
    </row>
    <row r="152" spans="1:23" s="41" customFormat="1" x14ac:dyDescent="0.25">
      <c r="A152" s="15">
        <v>125</v>
      </c>
      <c r="B152" s="15">
        <v>32379</v>
      </c>
      <c r="C152" s="16" t="s">
        <v>247</v>
      </c>
      <c r="D152" s="45"/>
      <c r="E152" s="185"/>
      <c r="F152" s="185"/>
      <c r="G152" s="42">
        <v>3000</v>
      </c>
      <c r="H152" s="42"/>
      <c r="I152" s="42"/>
      <c r="J152" s="8">
        <f t="shared" si="74"/>
        <v>0</v>
      </c>
      <c r="K152" s="98">
        <f t="shared" si="70"/>
        <v>0</v>
      </c>
      <c r="L152" s="103">
        <v>11</v>
      </c>
      <c r="M152" s="77">
        <v>11</v>
      </c>
      <c r="N152" s="76">
        <v>11</v>
      </c>
      <c r="O152" s="76">
        <v>11</v>
      </c>
      <c r="P152" s="102">
        <v>11</v>
      </c>
      <c r="Q152" s="74" t="s">
        <v>563</v>
      </c>
      <c r="R152" s="74" t="s">
        <v>563</v>
      </c>
      <c r="S152" s="74" t="s">
        <v>563</v>
      </c>
      <c r="T152" s="112" t="s">
        <v>563</v>
      </c>
      <c r="U152" s="112" t="s">
        <v>563</v>
      </c>
      <c r="V152" s="43"/>
      <c r="W152" s="43"/>
    </row>
    <row r="153" spans="1:23" s="43" customFormat="1" x14ac:dyDescent="0.25">
      <c r="A153" s="20">
        <v>127</v>
      </c>
      <c r="B153" s="20">
        <v>323792</v>
      </c>
      <c r="C153" s="21" t="s">
        <v>248</v>
      </c>
      <c r="D153" s="155"/>
      <c r="E153" s="189">
        <v>10386.450000000001</v>
      </c>
      <c r="F153" s="189">
        <v>19662.7</v>
      </c>
      <c r="G153" s="44">
        <v>66000</v>
      </c>
      <c r="H153" s="44">
        <v>31000</v>
      </c>
      <c r="I153" s="44">
        <v>19662.7</v>
      </c>
      <c r="J153" s="8">
        <f t="shared" si="74"/>
        <v>298.46578956236249</v>
      </c>
      <c r="K153" s="98">
        <f t="shared" si="70"/>
        <v>46.969696969696969</v>
      </c>
      <c r="L153" s="103">
        <v>11</v>
      </c>
      <c r="M153" s="77">
        <v>11</v>
      </c>
      <c r="N153" s="76">
        <v>11</v>
      </c>
      <c r="O153" s="76">
        <v>11</v>
      </c>
      <c r="P153" s="102">
        <v>11</v>
      </c>
      <c r="Q153" s="74" t="s">
        <v>563</v>
      </c>
      <c r="R153" s="74" t="s">
        <v>563</v>
      </c>
      <c r="S153" s="74" t="s">
        <v>563</v>
      </c>
      <c r="T153" s="113" t="s">
        <v>563</v>
      </c>
      <c r="U153" s="113" t="s">
        <v>563</v>
      </c>
    </row>
    <row r="154" spans="1:23" s="43" customFormat="1" x14ac:dyDescent="0.25">
      <c r="A154" s="20"/>
      <c r="B154" s="20">
        <v>323793</v>
      </c>
      <c r="C154" s="21" t="s">
        <v>881</v>
      </c>
      <c r="D154" s="155"/>
      <c r="E154" s="189">
        <v>427.96</v>
      </c>
      <c r="F154" s="189">
        <v>427.96</v>
      </c>
      <c r="G154" s="44">
        <v>2500</v>
      </c>
      <c r="H154" s="44">
        <v>1000</v>
      </c>
      <c r="I154" s="44">
        <v>427.96</v>
      </c>
      <c r="J154" s="8">
        <f t="shared" si="74"/>
        <v>233.66669782222638</v>
      </c>
      <c r="K154" s="98"/>
      <c r="L154" s="103">
        <v>11</v>
      </c>
      <c r="M154" s="77">
        <v>11</v>
      </c>
      <c r="N154" s="76">
        <v>11</v>
      </c>
      <c r="O154" s="76">
        <v>11</v>
      </c>
      <c r="P154" s="102">
        <v>11</v>
      </c>
      <c r="Q154" s="74" t="s">
        <v>603</v>
      </c>
      <c r="R154" s="74" t="s">
        <v>603</v>
      </c>
      <c r="S154" s="74" t="s">
        <v>603</v>
      </c>
      <c r="T154" s="74" t="s">
        <v>603</v>
      </c>
      <c r="U154" s="74" t="s">
        <v>603</v>
      </c>
    </row>
    <row r="155" spans="1:23" s="43" customFormat="1" x14ac:dyDescent="0.25">
      <c r="A155" s="20"/>
      <c r="B155" s="20">
        <v>323794</v>
      </c>
      <c r="C155" s="21" t="s">
        <v>549</v>
      </c>
      <c r="D155" s="155"/>
      <c r="E155" s="189"/>
      <c r="F155" s="189"/>
      <c r="G155" s="44">
        <v>5500</v>
      </c>
      <c r="H155" s="44"/>
      <c r="I155" s="44"/>
      <c r="J155" s="8">
        <f t="shared" si="74"/>
        <v>0</v>
      </c>
      <c r="K155" s="98">
        <f t="shared" si="70"/>
        <v>0</v>
      </c>
      <c r="L155" s="103">
        <v>41</v>
      </c>
      <c r="M155" s="77">
        <v>41</v>
      </c>
      <c r="N155" s="76">
        <v>41</v>
      </c>
      <c r="O155" s="76">
        <v>41</v>
      </c>
      <c r="P155" s="102">
        <v>41</v>
      </c>
      <c r="Q155" s="74" t="s">
        <v>703</v>
      </c>
      <c r="R155" s="74" t="s">
        <v>703</v>
      </c>
      <c r="S155" s="74" t="s">
        <v>703</v>
      </c>
      <c r="T155" s="113" t="s">
        <v>703</v>
      </c>
      <c r="U155" s="113" t="s">
        <v>703</v>
      </c>
    </row>
    <row r="156" spans="1:23" s="43" customFormat="1" x14ac:dyDescent="0.25">
      <c r="A156" s="37"/>
      <c r="B156" s="37">
        <v>3238</v>
      </c>
      <c r="C156" s="38" t="s">
        <v>249</v>
      </c>
      <c r="D156" s="39">
        <f t="shared" ref="D156:I156" si="80">SUM(D157:D159)</f>
        <v>0</v>
      </c>
      <c r="E156" s="184">
        <f t="shared" ref="E156:F156" si="81">SUM(E157:E159)</f>
        <v>2544.54</v>
      </c>
      <c r="F156" s="184">
        <f t="shared" si="81"/>
        <v>8614.08</v>
      </c>
      <c r="G156" s="39">
        <f t="shared" si="80"/>
        <v>14000</v>
      </c>
      <c r="H156" s="39">
        <f t="shared" si="80"/>
        <v>43500</v>
      </c>
      <c r="I156" s="39">
        <f t="shared" si="80"/>
        <v>8614.08</v>
      </c>
      <c r="J156" s="8">
        <f t="shared" si="74"/>
        <v>1709.5427857294442</v>
      </c>
      <c r="K156" s="98">
        <f t="shared" si="70"/>
        <v>310.71428571428572</v>
      </c>
    </row>
    <row r="157" spans="1:23" s="43" customFormat="1" x14ac:dyDescent="0.25">
      <c r="A157" s="15">
        <v>131</v>
      </c>
      <c r="B157" s="15">
        <v>32381</v>
      </c>
      <c r="C157" s="16" t="s">
        <v>250</v>
      </c>
      <c r="D157" s="45"/>
      <c r="E157" s="185">
        <v>1350</v>
      </c>
      <c r="F157" s="185">
        <v>5925</v>
      </c>
      <c r="G157" s="42">
        <v>11000</v>
      </c>
      <c r="H157" s="42">
        <v>41000</v>
      </c>
      <c r="I157" s="42">
        <v>5925</v>
      </c>
      <c r="J157" s="8">
        <f t="shared" si="74"/>
        <v>3037.037037037037</v>
      </c>
      <c r="K157" s="98">
        <f t="shared" si="70"/>
        <v>372.72727272727269</v>
      </c>
      <c r="L157" s="103">
        <v>11</v>
      </c>
      <c r="M157" s="77">
        <v>11</v>
      </c>
      <c r="N157" s="76">
        <v>11</v>
      </c>
      <c r="O157" s="76">
        <v>11</v>
      </c>
      <c r="P157" s="102">
        <v>11</v>
      </c>
      <c r="Q157" s="74" t="s">
        <v>563</v>
      </c>
      <c r="R157" s="74" t="s">
        <v>563</v>
      </c>
      <c r="S157" s="74" t="s">
        <v>563</v>
      </c>
      <c r="T157" s="113" t="s">
        <v>563</v>
      </c>
      <c r="U157" s="113" t="s">
        <v>563</v>
      </c>
    </row>
    <row r="158" spans="1:23" s="43" customFormat="1" x14ac:dyDescent="0.25">
      <c r="A158" s="20"/>
      <c r="B158" s="15">
        <v>32382</v>
      </c>
      <c r="C158" s="16" t="s">
        <v>882</v>
      </c>
      <c r="D158" s="45"/>
      <c r="E158" s="185">
        <v>1194.54</v>
      </c>
      <c r="F158" s="185">
        <v>2389.08</v>
      </c>
      <c r="G158" s="42">
        <v>2500</v>
      </c>
      <c r="H158" s="42">
        <v>2500</v>
      </c>
      <c r="I158" s="42">
        <v>2389.08</v>
      </c>
      <c r="J158" s="8"/>
      <c r="K158" s="98"/>
      <c r="L158" s="103">
        <v>11</v>
      </c>
      <c r="M158" s="77">
        <v>11</v>
      </c>
      <c r="N158" s="76">
        <v>11</v>
      </c>
      <c r="O158" s="76">
        <v>11</v>
      </c>
      <c r="P158" s="102">
        <v>11</v>
      </c>
      <c r="Q158" s="74" t="s">
        <v>627</v>
      </c>
      <c r="R158" s="74" t="s">
        <v>627</v>
      </c>
      <c r="S158" s="74" t="s">
        <v>627</v>
      </c>
      <c r="T158" s="74" t="s">
        <v>627</v>
      </c>
      <c r="U158" s="74" t="s">
        <v>627</v>
      </c>
    </row>
    <row r="159" spans="1:23" s="43" customFormat="1" x14ac:dyDescent="0.25">
      <c r="A159" s="15">
        <v>132</v>
      </c>
      <c r="B159" s="15">
        <v>32389</v>
      </c>
      <c r="C159" s="16" t="s">
        <v>251</v>
      </c>
      <c r="D159" s="45"/>
      <c r="E159" s="185"/>
      <c r="F159" s="185">
        <v>300</v>
      </c>
      <c r="G159" s="42">
        <v>500</v>
      </c>
      <c r="H159" s="42"/>
      <c r="I159" s="42">
        <v>300</v>
      </c>
      <c r="J159" s="8">
        <f t="shared" ref="J159:J168" si="82">IFERROR(SUM(H159/E159),0)*100</f>
        <v>0</v>
      </c>
      <c r="K159" s="98">
        <f t="shared" si="70"/>
        <v>0</v>
      </c>
      <c r="L159" s="103">
        <v>11</v>
      </c>
      <c r="M159" s="77">
        <v>11</v>
      </c>
      <c r="N159" s="76">
        <v>11</v>
      </c>
      <c r="O159" s="76">
        <v>11</v>
      </c>
      <c r="P159" s="102">
        <v>11</v>
      </c>
      <c r="Q159" s="74" t="s">
        <v>563</v>
      </c>
      <c r="R159" s="74" t="s">
        <v>563</v>
      </c>
      <c r="S159" s="74" t="s">
        <v>563</v>
      </c>
      <c r="T159" s="113" t="s">
        <v>563</v>
      </c>
      <c r="U159" s="113" t="s">
        <v>563</v>
      </c>
    </row>
    <row r="160" spans="1:23" s="43" customFormat="1" x14ac:dyDescent="0.25">
      <c r="A160" s="37"/>
      <c r="B160" s="37">
        <v>3239</v>
      </c>
      <c r="C160" s="38" t="s">
        <v>252</v>
      </c>
      <c r="D160" s="39">
        <f t="shared" ref="D160:I160" si="83">SUM(D161:D174)</f>
        <v>0</v>
      </c>
      <c r="E160" s="184">
        <f>SUM(E161:E174)</f>
        <v>93127.72</v>
      </c>
      <c r="F160" s="184">
        <f t="shared" ref="F160" si="84">SUM(F161:F174)</f>
        <v>225228.57</v>
      </c>
      <c r="G160" s="39">
        <f t="shared" si="83"/>
        <v>169000</v>
      </c>
      <c r="H160" s="39">
        <f>SUM(H161:H174)</f>
        <v>224300</v>
      </c>
      <c r="I160" s="39">
        <f t="shared" si="83"/>
        <v>225228.57</v>
      </c>
      <c r="J160" s="8">
        <f t="shared" si="82"/>
        <v>240.85202558378964</v>
      </c>
      <c r="K160" s="98">
        <f t="shared" si="70"/>
        <v>132.72189349112426</v>
      </c>
    </row>
    <row r="161" spans="1:23" s="43" customFormat="1" x14ac:dyDescent="0.25">
      <c r="A161" s="15">
        <v>134</v>
      </c>
      <c r="B161" s="15">
        <v>323911</v>
      </c>
      <c r="C161" s="16" t="s">
        <v>253</v>
      </c>
      <c r="D161" s="45"/>
      <c r="E161" s="185">
        <v>3658.39</v>
      </c>
      <c r="F161" s="185">
        <v>10607.28</v>
      </c>
      <c r="G161" s="42">
        <v>5500</v>
      </c>
      <c r="H161" s="42">
        <v>11500</v>
      </c>
      <c r="I161" s="42">
        <v>10607.28</v>
      </c>
      <c r="J161" s="8">
        <f t="shared" si="82"/>
        <v>314.34592812685366</v>
      </c>
      <c r="K161" s="98">
        <f t="shared" si="70"/>
        <v>209.09090909090909</v>
      </c>
      <c r="L161" s="103">
        <v>11</v>
      </c>
      <c r="M161" s="77">
        <v>11</v>
      </c>
      <c r="N161" s="76">
        <v>11</v>
      </c>
      <c r="O161" s="76">
        <v>11</v>
      </c>
      <c r="P161" s="102">
        <v>11</v>
      </c>
      <c r="Q161" s="74" t="s">
        <v>673</v>
      </c>
      <c r="R161" s="74" t="s">
        <v>673</v>
      </c>
      <c r="S161" s="74" t="s">
        <v>673</v>
      </c>
      <c r="T161" s="113" t="s">
        <v>673</v>
      </c>
      <c r="U161" s="113" t="s">
        <v>673</v>
      </c>
    </row>
    <row r="162" spans="1:23" s="43" customFormat="1" x14ac:dyDescent="0.25">
      <c r="A162" s="15">
        <v>135</v>
      </c>
      <c r="B162" s="15">
        <v>323912</v>
      </c>
      <c r="C162" s="16" t="s">
        <v>254</v>
      </c>
      <c r="D162" s="45"/>
      <c r="E162" s="185">
        <v>1437.5</v>
      </c>
      <c r="F162" s="185">
        <v>5597.5</v>
      </c>
      <c r="G162" s="42">
        <v>5000</v>
      </c>
      <c r="H162" s="42">
        <v>6000</v>
      </c>
      <c r="I162" s="42">
        <v>5597.5</v>
      </c>
      <c r="J162" s="8">
        <f t="shared" si="82"/>
        <v>417.39130434782606</v>
      </c>
      <c r="K162" s="98">
        <f t="shared" si="70"/>
        <v>120</v>
      </c>
      <c r="L162" s="103">
        <v>11</v>
      </c>
      <c r="M162" s="77">
        <v>11</v>
      </c>
      <c r="N162" s="76">
        <v>11</v>
      </c>
      <c r="O162" s="76">
        <v>11</v>
      </c>
      <c r="P162" s="102">
        <v>11</v>
      </c>
      <c r="Q162" s="74" t="s">
        <v>673</v>
      </c>
      <c r="R162" s="74" t="s">
        <v>673</v>
      </c>
      <c r="S162" s="74" t="s">
        <v>673</v>
      </c>
      <c r="T162" s="113" t="s">
        <v>673</v>
      </c>
      <c r="U162" s="113" t="s">
        <v>673</v>
      </c>
    </row>
    <row r="163" spans="1:23" s="43" customFormat="1" x14ac:dyDescent="0.25">
      <c r="A163" s="15"/>
      <c r="B163" s="15">
        <v>323913</v>
      </c>
      <c r="C163" s="16" t="s">
        <v>550</v>
      </c>
      <c r="D163" s="45"/>
      <c r="E163" s="185">
        <v>2224.94</v>
      </c>
      <c r="F163" s="185">
        <v>2309.88</v>
      </c>
      <c r="G163" s="42">
        <v>4000</v>
      </c>
      <c r="H163" s="42">
        <v>2400</v>
      </c>
      <c r="I163" s="42">
        <v>2309.88</v>
      </c>
      <c r="J163" s="8">
        <f t="shared" si="82"/>
        <v>107.86807734141146</v>
      </c>
      <c r="K163" s="98">
        <f t="shared" si="70"/>
        <v>60</v>
      </c>
      <c r="L163" s="103">
        <v>41</v>
      </c>
      <c r="M163" s="77">
        <v>41</v>
      </c>
      <c r="N163" s="76">
        <v>41</v>
      </c>
      <c r="O163" s="76">
        <v>41</v>
      </c>
      <c r="P163" s="102">
        <v>41</v>
      </c>
      <c r="Q163" s="74" t="s">
        <v>703</v>
      </c>
      <c r="R163" s="74" t="s">
        <v>703</v>
      </c>
      <c r="S163" s="74" t="s">
        <v>703</v>
      </c>
      <c r="T163" s="113" t="s">
        <v>703</v>
      </c>
      <c r="U163" s="113" t="s">
        <v>703</v>
      </c>
    </row>
    <row r="164" spans="1:23" s="43" customFormat="1" ht="15" customHeight="1" x14ac:dyDescent="0.25">
      <c r="A164" s="15">
        <v>136</v>
      </c>
      <c r="B164" s="15">
        <v>32392</v>
      </c>
      <c r="C164" s="16" t="s">
        <v>255</v>
      </c>
      <c r="D164" s="45"/>
      <c r="E164" s="185"/>
      <c r="F164" s="185"/>
      <c r="G164" s="42">
        <v>500</v>
      </c>
      <c r="H164" s="42"/>
      <c r="I164" s="42"/>
      <c r="J164" s="8">
        <f t="shared" si="82"/>
        <v>0</v>
      </c>
      <c r="K164" s="98">
        <f t="shared" si="70"/>
        <v>0</v>
      </c>
      <c r="L164" s="103">
        <v>11</v>
      </c>
      <c r="M164" s="77">
        <v>11</v>
      </c>
      <c r="N164" s="76">
        <v>11</v>
      </c>
      <c r="O164" s="76">
        <v>11</v>
      </c>
      <c r="P164" s="102">
        <v>11</v>
      </c>
      <c r="Q164" s="74" t="s">
        <v>563</v>
      </c>
      <c r="R164" s="74" t="s">
        <v>563</v>
      </c>
      <c r="S164" s="74" t="s">
        <v>563</v>
      </c>
      <c r="T164" s="113" t="s">
        <v>563</v>
      </c>
      <c r="U164" s="113" t="s">
        <v>563</v>
      </c>
    </row>
    <row r="165" spans="1:23" s="43" customFormat="1" x14ac:dyDescent="0.25">
      <c r="A165" s="15">
        <v>137</v>
      </c>
      <c r="B165" s="15">
        <v>32393</v>
      </c>
      <c r="C165" s="16" t="s">
        <v>256</v>
      </c>
      <c r="D165" s="45"/>
      <c r="E165" s="185"/>
      <c r="F165" s="185"/>
      <c r="G165" s="42"/>
      <c r="H165" s="42"/>
      <c r="I165" s="42"/>
      <c r="J165" s="8">
        <f t="shared" si="82"/>
        <v>0</v>
      </c>
      <c r="K165" s="98">
        <f t="shared" si="70"/>
        <v>0</v>
      </c>
      <c r="L165" s="103">
        <v>41</v>
      </c>
      <c r="M165" s="77">
        <v>41</v>
      </c>
      <c r="N165" s="76">
        <v>41</v>
      </c>
      <c r="O165" s="76">
        <v>41</v>
      </c>
      <c r="P165" s="102">
        <v>41</v>
      </c>
      <c r="Q165" s="74" t="s">
        <v>651</v>
      </c>
      <c r="R165" s="74" t="s">
        <v>651</v>
      </c>
      <c r="S165" s="74" t="s">
        <v>651</v>
      </c>
      <c r="T165" s="113" t="s">
        <v>651</v>
      </c>
      <c r="U165" s="113" t="s">
        <v>651</v>
      </c>
      <c r="V165" s="36"/>
      <c r="W165" s="36"/>
    </row>
    <row r="166" spans="1:23" s="36" customFormat="1" x14ac:dyDescent="0.25">
      <c r="A166" s="15">
        <v>138</v>
      </c>
      <c r="B166" s="15">
        <v>32394</v>
      </c>
      <c r="C166" s="16" t="s">
        <v>257</v>
      </c>
      <c r="D166" s="45"/>
      <c r="E166" s="185">
        <v>151.16</v>
      </c>
      <c r="F166" s="185">
        <v>520.77</v>
      </c>
      <c r="G166" s="42">
        <v>1500</v>
      </c>
      <c r="H166" s="42">
        <v>2000</v>
      </c>
      <c r="I166" s="42">
        <v>520.77</v>
      </c>
      <c r="J166" s="8">
        <f t="shared" si="82"/>
        <v>1323.1013495633765</v>
      </c>
      <c r="K166" s="98">
        <f t="shared" si="70"/>
        <v>133.33333333333331</v>
      </c>
      <c r="L166" s="103">
        <v>11</v>
      </c>
      <c r="M166" s="77">
        <v>11</v>
      </c>
      <c r="N166" s="76">
        <v>11</v>
      </c>
      <c r="O166" s="76">
        <v>11</v>
      </c>
      <c r="P166" s="102">
        <v>11</v>
      </c>
      <c r="Q166" s="74" t="s">
        <v>563</v>
      </c>
      <c r="R166" s="74" t="s">
        <v>563</v>
      </c>
      <c r="S166" s="74" t="s">
        <v>563</v>
      </c>
      <c r="T166" s="111" t="s">
        <v>563</v>
      </c>
      <c r="U166" s="111" t="s">
        <v>563</v>
      </c>
      <c r="V166" s="41"/>
      <c r="W166" s="41"/>
    </row>
    <row r="167" spans="1:23" s="41" customFormat="1" x14ac:dyDescent="0.25">
      <c r="A167" s="15"/>
      <c r="B167" s="15">
        <v>32397</v>
      </c>
      <c r="C167" s="16" t="s">
        <v>381</v>
      </c>
      <c r="D167" s="45"/>
      <c r="E167" s="185"/>
      <c r="F167" s="185">
        <v>1327.23</v>
      </c>
      <c r="G167" s="42">
        <v>1500</v>
      </c>
      <c r="H167" s="42">
        <v>1400</v>
      </c>
      <c r="I167" s="42">
        <v>1327.23</v>
      </c>
      <c r="J167" s="8">
        <f t="shared" si="82"/>
        <v>0</v>
      </c>
      <c r="K167" s="98">
        <f t="shared" si="70"/>
        <v>93.333333333333329</v>
      </c>
      <c r="L167" s="103">
        <v>11</v>
      </c>
      <c r="M167" s="77">
        <v>11</v>
      </c>
      <c r="N167" s="76">
        <v>11</v>
      </c>
      <c r="O167" s="76">
        <v>11</v>
      </c>
      <c r="P167" s="102">
        <v>11</v>
      </c>
      <c r="Q167" s="74" t="s">
        <v>671</v>
      </c>
      <c r="R167" s="74" t="s">
        <v>671</v>
      </c>
      <c r="S167" s="74" t="s">
        <v>671</v>
      </c>
      <c r="T167" s="112" t="s">
        <v>671</v>
      </c>
      <c r="U167" s="112" t="s">
        <v>671</v>
      </c>
      <c r="V167" s="43"/>
      <c r="W167" s="43"/>
    </row>
    <row r="168" spans="1:23" s="43" customFormat="1" x14ac:dyDescent="0.25">
      <c r="A168" s="15"/>
      <c r="B168" s="15">
        <v>32398</v>
      </c>
      <c r="C168" s="16" t="s">
        <v>797</v>
      </c>
      <c r="D168" s="45"/>
      <c r="E168" s="185">
        <v>33744.78</v>
      </c>
      <c r="F168" s="185">
        <v>67489.56</v>
      </c>
      <c r="G168" s="42">
        <v>68000</v>
      </c>
      <c r="H168" s="42">
        <v>68000</v>
      </c>
      <c r="I168" s="42">
        <v>67489.56</v>
      </c>
      <c r="J168" s="17">
        <f t="shared" si="82"/>
        <v>201.5126487711581</v>
      </c>
      <c r="K168" s="131">
        <f t="shared" si="70"/>
        <v>100</v>
      </c>
      <c r="L168" s="114">
        <v>11</v>
      </c>
      <c r="M168" s="115">
        <v>11</v>
      </c>
      <c r="N168" s="116">
        <v>11</v>
      </c>
      <c r="O168" s="116">
        <v>11</v>
      </c>
      <c r="P168" s="117">
        <v>11</v>
      </c>
      <c r="Q168" s="118" t="s">
        <v>647</v>
      </c>
      <c r="R168" s="118" t="s">
        <v>647</v>
      </c>
      <c r="S168" s="118" t="s">
        <v>647</v>
      </c>
      <c r="T168" s="113" t="s">
        <v>647</v>
      </c>
      <c r="U168" s="113" t="s">
        <v>647</v>
      </c>
    </row>
    <row r="169" spans="1:23" s="43" customFormat="1" x14ac:dyDescent="0.25">
      <c r="A169" s="15"/>
      <c r="B169" s="15">
        <v>323931</v>
      </c>
      <c r="C169" s="16" t="s">
        <v>843</v>
      </c>
      <c r="D169" s="45"/>
      <c r="E169" s="185"/>
      <c r="F169" s="185"/>
      <c r="G169" s="42">
        <v>13000</v>
      </c>
      <c r="H169" s="42"/>
      <c r="I169" s="42"/>
      <c r="J169" s="17"/>
      <c r="K169" s="131">
        <f t="shared" si="70"/>
        <v>0</v>
      </c>
      <c r="L169" s="114">
        <v>11</v>
      </c>
      <c r="M169" s="115">
        <v>11</v>
      </c>
      <c r="N169" s="116">
        <v>11</v>
      </c>
      <c r="O169" s="116">
        <v>11</v>
      </c>
      <c r="P169" s="117">
        <v>11</v>
      </c>
      <c r="Q169" s="118" t="s">
        <v>615</v>
      </c>
      <c r="R169" s="118" t="s">
        <v>615</v>
      </c>
      <c r="S169" s="118" t="s">
        <v>615</v>
      </c>
      <c r="T169" s="113" t="s">
        <v>615</v>
      </c>
      <c r="U169" s="113" t="s">
        <v>615</v>
      </c>
    </row>
    <row r="170" spans="1:23" s="43" customFormat="1" ht="30" customHeight="1" x14ac:dyDescent="0.25">
      <c r="A170" s="15">
        <v>139</v>
      </c>
      <c r="B170" s="15">
        <v>323951</v>
      </c>
      <c r="C170" s="16" t="s">
        <v>258</v>
      </c>
      <c r="D170" s="45"/>
      <c r="E170" s="185">
        <v>12228.93</v>
      </c>
      <c r="F170" s="185">
        <v>21783.09</v>
      </c>
      <c r="G170" s="42">
        <v>16000</v>
      </c>
      <c r="H170" s="42">
        <v>24000</v>
      </c>
      <c r="I170" s="42">
        <v>21783.09</v>
      </c>
      <c r="J170" s="8">
        <f t="shared" ref="J170:J185" si="85">IFERROR(SUM(H170/E170),0)*100</f>
        <v>196.25592754231153</v>
      </c>
      <c r="K170" s="98">
        <f t="shared" si="70"/>
        <v>150</v>
      </c>
      <c r="L170" s="103">
        <v>11</v>
      </c>
      <c r="M170" s="77">
        <v>11</v>
      </c>
      <c r="N170" s="76">
        <v>11</v>
      </c>
      <c r="O170" s="76">
        <v>11</v>
      </c>
      <c r="P170" s="102">
        <v>11</v>
      </c>
      <c r="Q170" s="74" t="s">
        <v>563</v>
      </c>
      <c r="R170" s="74" t="s">
        <v>563</v>
      </c>
      <c r="S170" s="74" t="s">
        <v>563</v>
      </c>
      <c r="T170" s="113" t="s">
        <v>563</v>
      </c>
      <c r="U170" s="113" t="s">
        <v>563</v>
      </c>
    </row>
    <row r="171" spans="1:23" s="43" customFormat="1" ht="35.25" customHeight="1" x14ac:dyDescent="0.25">
      <c r="A171" s="15">
        <v>140</v>
      </c>
      <c r="B171" s="15">
        <v>323952</v>
      </c>
      <c r="C171" s="16" t="s">
        <v>259</v>
      </c>
      <c r="D171" s="45"/>
      <c r="E171" s="185">
        <v>6237.84</v>
      </c>
      <c r="F171" s="185">
        <v>22071.46</v>
      </c>
      <c r="G171" s="42">
        <v>13000</v>
      </c>
      <c r="H171" s="42">
        <v>23000</v>
      </c>
      <c r="I171" s="42">
        <v>22071.46</v>
      </c>
      <c r="J171" s="8">
        <f t="shared" si="85"/>
        <v>368.71737652777244</v>
      </c>
      <c r="K171" s="98">
        <f t="shared" si="70"/>
        <v>176.92307692307691</v>
      </c>
      <c r="L171" s="103">
        <v>11</v>
      </c>
      <c r="M171" s="77">
        <v>11</v>
      </c>
      <c r="N171" s="76">
        <v>11</v>
      </c>
      <c r="O171" s="76">
        <v>11</v>
      </c>
      <c r="P171" s="102">
        <v>11</v>
      </c>
      <c r="Q171" s="74" t="s">
        <v>563</v>
      </c>
      <c r="R171" s="74" t="s">
        <v>563</v>
      </c>
      <c r="S171" s="74" t="s">
        <v>563</v>
      </c>
      <c r="T171" s="113" t="s">
        <v>563</v>
      </c>
      <c r="U171" s="113" t="s">
        <v>563</v>
      </c>
    </row>
    <row r="172" spans="1:23" s="43" customFormat="1" x14ac:dyDescent="0.25">
      <c r="A172" s="15">
        <v>141</v>
      </c>
      <c r="B172" s="15">
        <v>32399</v>
      </c>
      <c r="C172" s="16" t="s">
        <v>260</v>
      </c>
      <c r="D172" s="45"/>
      <c r="E172" s="185">
        <v>33281.68</v>
      </c>
      <c r="F172" s="185">
        <v>92384.3</v>
      </c>
      <c r="G172" s="42">
        <v>40000</v>
      </c>
      <c r="H172" s="42">
        <v>85000</v>
      </c>
      <c r="I172" s="42">
        <v>92384.3</v>
      </c>
      <c r="J172" s="8">
        <f t="shared" si="85"/>
        <v>255.3957612716666</v>
      </c>
      <c r="K172" s="98">
        <f t="shared" si="70"/>
        <v>212.5</v>
      </c>
      <c r="L172" s="103">
        <v>11</v>
      </c>
      <c r="M172" s="77">
        <v>11</v>
      </c>
      <c r="N172" s="76">
        <v>11</v>
      </c>
      <c r="O172" s="76">
        <v>11</v>
      </c>
      <c r="P172" s="102">
        <v>11</v>
      </c>
      <c r="Q172" s="74" t="s">
        <v>563</v>
      </c>
      <c r="R172" s="74" t="s">
        <v>563</v>
      </c>
      <c r="S172" s="74" t="s">
        <v>563</v>
      </c>
      <c r="T172" s="113" t="s">
        <v>563</v>
      </c>
      <c r="U172" s="113" t="s">
        <v>563</v>
      </c>
    </row>
    <row r="173" spans="1:23" s="43" customFormat="1" x14ac:dyDescent="0.25">
      <c r="A173" s="20"/>
      <c r="B173" s="15"/>
      <c r="C173" s="16" t="s">
        <v>883</v>
      </c>
      <c r="D173" s="45"/>
      <c r="E173" s="185">
        <v>162.5</v>
      </c>
      <c r="F173" s="185">
        <v>1137.5</v>
      </c>
      <c r="G173" s="42">
        <v>1000</v>
      </c>
      <c r="H173" s="42">
        <v>1000</v>
      </c>
      <c r="I173" s="42">
        <v>1137.5</v>
      </c>
      <c r="J173" s="8">
        <f t="shared" si="85"/>
        <v>615.38461538461547</v>
      </c>
      <c r="K173" s="98"/>
      <c r="L173" s="103">
        <v>11</v>
      </c>
      <c r="M173" s="77">
        <v>11</v>
      </c>
      <c r="N173" s="76">
        <v>11</v>
      </c>
      <c r="O173" s="76">
        <v>11</v>
      </c>
      <c r="P173" s="102">
        <v>11</v>
      </c>
      <c r="Q173" s="74" t="s">
        <v>603</v>
      </c>
      <c r="R173" s="74" t="s">
        <v>603</v>
      </c>
      <c r="S173" s="74" t="s">
        <v>603</v>
      </c>
      <c r="T173" s="74" t="s">
        <v>603</v>
      </c>
      <c r="U173" s="74" t="s">
        <v>603</v>
      </c>
    </row>
    <row r="174" spans="1:23" s="43" customFormat="1" x14ac:dyDescent="0.25">
      <c r="A174" s="15"/>
      <c r="B174" s="15">
        <v>323992</v>
      </c>
      <c r="C174" s="16" t="s">
        <v>551</v>
      </c>
      <c r="D174" s="45"/>
      <c r="E174" s="185"/>
      <c r="F174" s="185"/>
      <c r="G174" s="42"/>
      <c r="H174" s="42"/>
      <c r="I174" s="42"/>
      <c r="J174" s="8">
        <f t="shared" si="85"/>
        <v>0</v>
      </c>
      <c r="K174" s="98">
        <f t="shared" si="70"/>
        <v>0</v>
      </c>
      <c r="L174" s="103">
        <v>41</v>
      </c>
      <c r="M174" s="77">
        <v>41</v>
      </c>
      <c r="N174" s="76">
        <v>41</v>
      </c>
      <c r="O174" s="76">
        <v>41</v>
      </c>
      <c r="P174" s="102">
        <v>41</v>
      </c>
      <c r="Q174" s="74" t="s">
        <v>703</v>
      </c>
      <c r="R174" s="74" t="s">
        <v>703</v>
      </c>
      <c r="S174" s="74" t="s">
        <v>703</v>
      </c>
      <c r="T174" s="113" t="s">
        <v>703</v>
      </c>
      <c r="U174" s="113" t="s">
        <v>703</v>
      </c>
    </row>
    <row r="175" spans="1:23" s="43" customFormat="1" x14ac:dyDescent="0.25">
      <c r="A175" s="11"/>
      <c r="B175" s="11">
        <v>324</v>
      </c>
      <c r="C175" s="12" t="s">
        <v>529</v>
      </c>
      <c r="D175" s="13">
        <f t="shared" ref="D175:I175" si="86">SUM(D176)</f>
        <v>0</v>
      </c>
      <c r="E175" s="186">
        <f t="shared" si="86"/>
        <v>0</v>
      </c>
      <c r="F175" s="186">
        <f t="shared" si="86"/>
        <v>0</v>
      </c>
      <c r="G175" s="13">
        <f t="shared" si="86"/>
        <v>0</v>
      </c>
      <c r="H175" s="13">
        <f t="shared" si="86"/>
        <v>0</v>
      </c>
      <c r="I175" s="13">
        <f t="shared" si="86"/>
        <v>0</v>
      </c>
      <c r="J175" s="8">
        <f t="shared" si="85"/>
        <v>0</v>
      </c>
      <c r="K175" s="98">
        <f>IFERROR(SUM(H175/G175),0)*100</f>
        <v>0</v>
      </c>
    </row>
    <row r="176" spans="1:23" s="43" customFormat="1" x14ac:dyDescent="0.25">
      <c r="A176" s="15"/>
      <c r="B176" s="15">
        <v>32411</v>
      </c>
      <c r="C176" s="16" t="s">
        <v>529</v>
      </c>
      <c r="D176" s="45"/>
      <c r="E176" s="185"/>
      <c r="F176" s="185"/>
      <c r="G176" s="42"/>
      <c r="H176" s="42"/>
      <c r="I176" s="42"/>
      <c r="J176" s="8">
        <f t="shared" si="85"/>
        <v>0</v>
      </c>
      <c r="K176" s="98">
        <f t="shared" si="70"/>
        <v>0</v>
      </c>
      <c r="L176" s="103">
        <v>41</v>
      </c>
      <c r="M176" s="77">
        <v>41</v>
      </c>
      <c r="N176" s="76">
        <v>41</v>
      </c>
      <c r="O176" s="76">
        <v>41</v>
      </c>
      <c r="P176" s="102">
        <v>41</v>
      </c>
      <c r="Q176" s="74" t="s">
        <v>567</v>
      </c>
      <c r="R176" s="74" t="s">
        <v>567</v>
      </c>
      <c r="S176" s="74" t="s">
        <v>567</v>
      </c>
      <c r="T176" s="113" t="s">
        <v>567</v>
      </c>
      <c r="U176" s="113" t="s">
        <v>567</v>
      </c>
    </row>
    <row r="177" spans="1:23" s="43" customFormat="1" x14ac:dyDescent="0.25">
      <c r="A177" s="11"/>
      <c r="B177" s="11">
        <v>329</v>
      </c>
      <c r="C177" s="12" t="s">
        <v>261</v>
      </c>
      <c r="D177" s="35">
        <f t="shared" ref="D177:I177" si="87">SUM(D178+D188+D193+D201+D203+D208+D210)</f>
        <v>0</v>
      </c>
      <c r="E177" s="183">
        <f>SUM(E178+E188+E193+E201+E203+E208+E210)</f>
        <v>19941.559999999998</v>
      </c>
      <c r="F177" s="183">
        <f t="shared" ref="F177" si="88">SUM(F178+F188+F193+F201+F203+F208+F210)</f>
        <v>96679.87</v>
      </c>
      <c r="G177" s="35">
        <f t="shared" si="87"/>
        <v>117000</v>
      </c>
      <c r="H177" s="35">
        <f>SUM(H178+H188+H193+H201+H203+H208+H210)</f>
        <v>112000</v>
      </c>
      <c r="I177" s="35">
        <f t="shared" si="87"/>
        <v>96679.87</v>
      </c>
      <c r="J177" s="8">
        <f t="shared" si="85"/>
        <v>561.64111533902064</v>
      </c>
      <c r="K177" s="98">
        <f t="shared" si="70"/>
        <v>95.726495726495727</v>
      </c>
      <c r="L177" s="103"/>
      <c r="M177" s="77"/>
      <c r="N177" s="76"/>
      <c r="O177" s="76"/>
      <c r="P177" s="102"/>
      <c r="Q177" s="74"/>
      <c r="R177" s="74"/>
      <c r="S177" s="74"/>
      <c r="T177" s="113"/>
      <c r="U177" s="113"/>
    </row>
    <row r="178" spans="1:23" s="43" customFormat="1" x14ac:dyDescent="0.25">
      <c r="A178" s="37"/>
      <c r="B178" s="37">
        <v>3291</v>
      </c>
      <c r="C178" s="38" t="s">
        <v>262</v>
      </c>
      <c r="D178" s="39">
        <f t="shared" ref="D178:I178" si="89">SUM(D179:D187)</f>
        <v>0</v>
      </c>
      <c r="E178" s="184">
        <f>SUM(E179:E187)</f>
        <v>9016.17</v>
      </c>
      <c r="F178" s="184">
        <f t="shared" ref="F178" si="90">SUM(F179:F187)</f>
        <v>21639.87</v>
      </c>
      <c r="G178" s="39">
        <f t="shared" si="89"/>
        <v>22000</v>
      </c>
      <c r="H178" s="39">
        <f>SUM(H179:H187)</f>
        <v>26100</v>
      </c>
      <c r="I178" s="39">
        <f t="shared" si="89"/>
        <v>21639.87</v>
      </c>
      <c r="J178" s="8">
        <f t="shared" si="85"/>
        <v>289.47990111100393</v>
      </c>
      <c r="K178" s="98">
        <f t="shared" si="70"/>
        <v>118.63636363636363</v>
      </c>
    </row>
    <row r="179" spans="1:23" s="43" customFormat="1" ht="31.5" customHeight="1" x14ac:dyDescent="0.25">
      <c r="A179" s="15">
        <v>142</v>
      </c>
      <c r="B179" s="15">
        <v>329111</v>
      </c>
      <c r="C179" s="16" t="s">
        <v>263</v>
      </c>
      <c r="D179" s="45"/>
      <c r="E179" s="185"/>
      <c r="F179" s="185"/>
      <c r="G179" s="42"/>
      <c r="H179" s="42"/>
      <c r="I179" s="42"/>
      <c r="J179" s="8">
        <f t="shared" si="85"/>
        <v>0</v>
      </c>
      <c r="K179" s="98">
        <f t="shared" si="70"/>
        <v>0</v>
      </c>
      <c r="L179" s="103">
        <v>11</v>
      </c>
      <c r="M179" s="77">
        <v>11</v>
      </c>
      <c r="N179" s="76">
        <v>11</v>
      </c>
      <c r="O179" s="76">
        <v>11</v>
      </c>
      <c r="P179" s="102">
        <v>1</v>
      </c>
      <c r="Q179" s="74" t="s">
        <v>563</v>
      </c>
      <c r="R179" s="74" t="s">
        <v>563</v>
      </c>
      <c r="S179" s="74" t="s">
        <v>563</v>
      </c>
      <c r="T179" s="113" t="s">
        <v>563</v>
      </c>
      <c r="U179" s="113" t="s">
        <v>563</v>
      </c>
    </row>
    <row r="180" spans="1:23" s="43" customFormat="1" ht="32.25" customHeight="1" x14ac:dyDescent="0.25">
      <c r="A180" s="15">
        <v>143</v>
      </c>
      <c r="B180" s="15">
        <v>329112</v>
      </c>
      <c r="C180" s="16" t="s">
        <v>264</v>
      </c>
      <c r="D180" s="45"/>
      <c r="E180" s="185"/>
      <c r="F180" s="185"/>
      <c r="G180" s="42"/>
      <c r="H180" s="42"/>
      <c r="I180" s="42"/>
      <c r="J180" s="8">
        <f t="shared" si="85"/>
        <v>0</v>
      </c>
      <c r="K180" s="98">
        <f t="shared" si="70"/>
        <v>0</v>
      </c>
      <c r="L180" s="103">
        <v>11</v>
      </c>
      <c r="M180" s="77">
        <v>11</v>
      </c>
      <c r="N180" s="76">
        <v>11</v>
      </c>
      <c r="O180" s="76">
        <v>11</v>
      </c>
      <c r="P180" s="102">
        <v>11</v>
      </c>
      <c r="Q180" s="74" t="s">
        <v>563</v>
      </c>
      <c r="R180" s="74" t="s">
        <v>563</v>
      </c>
      <c r="S180" s="74" t="s">
        <v>563</v>
      </c>
      <c r="T180" s="113" t="s">
        <v>563</v>
      </c>
      <c r="U180" s="113" t="s">
        <v>563</v>
      </c>
      <c r="V180" s="41"/>
      <c r="W180" s="41"/>
    </row>
    <row r="181" spans="1:23" s="41" customFormat="1" ht="31.5" x14ac:dyDescent="0.25">
      <c r="A181" s="15">
        <v>144</v>
      </c>
      <c r="B181" s="15">
        <v>329113</v>
      </c>
      <c r="C181" s="16" t="s">
        <v>265</v>
      </c>
      <c r="D181" s="45"/>
      <c r="E181" s="185"/>
      <c r="F181" s="185"/>
      <c r="G181" s="42"/>
      <c r="H181" s="42"/>
      <c r="I181" s="42"/>
      <c r="J181" s="8">
        <f t="shared" si="85"/>
        <v>0</v>
      </c>
      <c r="K181" s="98">
        <f t="shared" si="70"/>
        <v>0</v>
      </c>
      <c r="L181" s="103">
        <v>11</v>
      </c>
      <c r="M181" s="77">
        <v>11</v>
      </c>
      <c r="N181" s="76">
        <v>11</v>
      </c>
      <c r="O181" s="76">
        <v>11</v>
      </c>
      <c r="P181" s="102">
        <v>11</v>
      </c>
      <c r="Q181" s="74" t="s">
        <v>563</v>
      </c>
      <c r="R181" s="74" t="s">
        <v>563</v>
      </c>
      <c r="S181" s="74" t="s">
        <v>563</v>
      </c>
      <c r="T181" s="112" t="s">
        <v>563</v>
      </c>
      <c r="U181" s="112" t="s">
        <v>563</v>
      </c>
      <c r="V181" s="25"/>
      <c r="W181" s="25"/>
    </row>
    <row r="182" spans="1:23" ht="31.5" x14ac:dyDescent="0.25">
      <c r="A182" s="15">
        <v>145</v>
      </c>
      <c r="B182" s="15">
        <v>329114</v>
      </c>
      <c r="C182" s="16" t="s">
        <v>266</v>
      </c>
      <c r="D182" s="45"/>
      <c r="E182" s="185">
        <v>452.65</v>
      </c>
      <c r="F182" s="185">
        <v>1810.6</v>
      </c>
      <c r="G182" s="42">
        <v>2500</v>
      </c>
      <c r="H182" s="42">
        <v>2500</v>
      </c>
      <c r="I182" s="42">
        <v>1810.6</v>
      </c>
      <c r="J182" s="8">
        <f t="shared" si="85"/>
        <v>552.30310394344417</v>
      </c>
      <c r="K182" s="98">
        <f t="shared" si="70"/>
        <v>100</v>
      </c>
      <c r="L182" s="103">
        <v>11</v>
      </c>
      <c r="M182" s="77">
        <v>11</v>
      </c>
      <c r="N182" s="76">
        <v>11</v>
      </c>
      <c r="O182" s="76">
        <v>11</v>
      </c>
      <c r="P182" s="102">
        <v>11</v>
      </c>
      <c r="Q182" s="74" t="s">
        <v>563</v>
      </c>
      <c r="R182" s="74" t="s">
        <v>563</v>
      </c>
      <c r="S182" s="74" t="s">
        <v>563</v>
      </c>
      <c r="T182" s="109" t="s">
        <v>563</v>
      </c>
      <c r="U182" s="109" t="s">
        <v>563</v>
      </c>
      <c r="V182" s="43"/>
      <c r="W182" s="43"/>
    </row>
    <row r="183" spans="1:23" s="43" customFormat="1" ht="31.5" x14ac:dyDescent="0.25">
      <c r="A183" s="15">
        <v>146</v>
      </c>
      <c r="B183" s="15">
        <v>329115</v>
      </c>
      <c r="C183" s="16" t="s">
        <v>267</v>
      </c>
      <c r="D183" s="45"/>
      <c r="E183" s="185">
        <v>4023.52</v>
      </c>
      <c r="F183" s="185">
        <v>15289.27</v>
      </c>
      <c r="G183" s="42">
        <v>19000</v>
      </c>
      <c r="H183" s="42">
        <v>19000</v>
      </c>
      <c r="I183" s="42">
        <v>15289.27</v>
      </c>
      <c r="J183" s="8">
        <f t="shared" si="85"/>
        <v>472.22332683819144</v>
      </c>
      <c r="K183" s="98">
        <f t="shared" si="70"/>
        <v>100</v>
      </c>
      <c r="L183" s="103">
        <v>11</v>
      </c>
      <c r="M183" s="77">
        <v>11</v>
      </c>
      <c r="N183" s="76">
        <v>11</v>
      </c>
      <c r="O183" s="76">
        <v>11</v>
      </c>
      <c r="P183" s="102">
        <v>11</v>
      </c>
      <c r="Q183" s="74" t="s">
        <v>563</v>
      </c>
      <c r="R183" s="74" t="s">
        <v>563</v>
      </c>
      <c r="S183" s="74" t="s">
        <v>563</v>
      </c>
      <c r="T183" s="113" t="s">
        <v>563</v>
      </c>
      <c r="U183" s="113" t="s">
        <v>563</v>
      </c>
    </row>
    <row r="184" spans="1:23" s="43" customFormat="1" ht="31.5" x14ac:dyDescent="0.25">
      <c r="A184" s="15">
        <v>147</v>
      </c>
      <c r="B184" s="15">
        <v>329117</v>
      </c>
      <c r="C184" s="16" t="s">
        <v>887</v>
      </c>
      <c r="D184" s="45"/>
      <c r="E184" s="185">
        <v>4540</v>
      </c>
      <c r="F184" s="185">
        <v>4540</v>
      </c>
      <c r="G184" s="42"/>
      <c r="H184" s="42">
        <v>4600</v>
      </c>
      <c r="I184" s="42">
        <v>4540</v>
      </c>
      <c r="J184" s="8">
        <f t="shared" si="85"/>
        <v>101.32158590308372</v>
      </c>
      <c r="K184" s="98">
        <f t="shared" si="70"/>
        <v>0</v>
      </c>
      <c r="L184" s="103">
        <v>11</v>
      </c>
      <c r="M184" s="77">
        <v>11</v>
      </c>
      <c r="N184" s="76">
        <v>11</v>
      </c>
      <c r="O184" s="76">
        <v>11</v>
      </c>
      <c r="P184" s="102">
        <v>11</v>
      </c>
      <c r="Q184" s="74" t="s">
        <v>563</v>
      </c>
      <c r="R184" s="74" t="s">
        <v>563</v>
      </c>
      <c r="S184" s="74" t="s">
        <v>563</v>
      </c>
      <c r="T184" s="113" t="s">
        <v>563</v>
      </c>
      <c r="U184" s="113" t="s">
        <v>563</v>
      </c>
    </row>
    <row r="185" spans="1:23" s="43" customFormat="1" ht="31.5" x14ac:dyDescent="0.25">
      <c r="A185" s="15">
        <v>148</v>
      </c>
      <c r="B185" s="15">
        <v>329118</v>
      </c>
      <c r="C185" s="16" t="s">
        <v>268</v>
      </c>
      <c r="D185" s="45"/>
      <c r="E185" s="185"/>
      <c r="F185" s="185"/>
      <c r="G185" s="42"/>
      <c r="H185" s="42"/>
      <c r="I185" s="42"/>
      <c r="J185" s="8">
        <f t="shared" si="85"/>
        <v>0</v>
      </c>
      <c r="K185" s="98">
        <f t="shared" si="70"/>
        <v>0</v>
      </c>
      <c r="L185" s="103">
        <v>11</v>
      </c>
      <c r="M185" s="77">
        <v>11</v>
      </c>
      <c r="N185" s="76">
        <v>11</v>
      </c>
      <c r="O185" s="76">
        <v>11</v>
      </c>
      <c r="P185" s="102">
        <v>11</v>
      </c>
      <c r="Q185" s="74" t="s">
        <v>563</v>
      </c>
      <c r="R185" s="74" t="s">
        <v>563</v>
      </c>
      <c r="S185" s="74" t="s">
        <v>563</v>
      </c>
      <c r="T185" s="113" t="s">
        <v>563</v>
      </c>
      <c r="U185" s="113" t="s">
        <v>563</v>
      </c>
    </row>
    <row r="186" spans="1:23" s="43" customFormat="1" ht="31.5" x14ac:dyDescent="0.25">
      <c r="A186" s="15"/>
      <c r="B186" s="15"/>
      <c r="C186" s="16" t="s">
        <v>870</v>
      </c>
      <c r="D186" s="45"/>
      <c r="E186" s="185"/>
      <c r="F186" s="185"/>
      <c r="G186" s="42"/>
      <c r="H186" s="42"/>
      <c r="I186" s="42"/>
      <c r="J186" s="8"/>
      <c r="K186" s="98"/>
      <c r="L186" s="103">
        <v>11</v>
      </c>
      <c r="M186" s="77">
        <v>11</v>
      </c>
      <c r="N186" s="76">
        <v>11</v>
      </c>
      <c r="O186" s="76">
        <v>11</v>
      </c>
      <c r="P186" s="102">
        <v>11</v>
      </c>
      <c r="Q186" s="74" t="s">
        <v>563</v>
      </c>
      <c r="R186" s="74" t="s">
        <v>563</v>
      </c>
      <c r="S186" s="74" t="s">
        <v>563</v>
      </c>
      <c r="T186" s="113" t="s">
        <v>563</v>
      </c>
      <c r="U186" s="113" t="s">
        <v>563</v>
      </c>
    </row>
    <row r="187" spans="1:23" s="43" customFormat="1" x14ac:dyDescent="0.25">
      <c r="A187" s="15">
        <v>149</v>
      </c>
      <c r="B187" s="15">
        <v>32912</v>
      </c>
      <c r="C187" s="16" t="s">
        <v>269</v>
      </c>
      <c r="D187" s="45"/>
      <c r="E187" s="185"/>
      <c r="F187" s="185"/>
      <c r="G187" s="42">
        <v>500</v>
      </c>
      <c r="H187" s="42"/>
      <c r="I187" s="42"/>
      <c r="J187" s="8">
        <f>IFERROR(SUM(H187/E187),0)*100</f>
        <v>0</v>
      </c>
      <c r="K187" s="98">
        <f t="shared" si="70"/>
        <v>0</v>
      </c>
      <c r="L187" s="103">
        <v>11</v>
      </c>
      <c r="M187" s="77">
        <v>11</v>
      </c>
      <c r="N187" s="76">
        <v>11</v>
      </c>
      <c r="O187" s="76">
        <v>11</v>
      </c>
      <c r="P187" s="102">
        <v>11</v>
      </c>
      <c r="Q187" s="74" t="s">
        <v>563</v>
      </c>
      <c r="R187" s="74" t="s">
        <v>563</v>
      </c>
      <c r="S187" s="74" t="s">
        <v>563</v>
      </c>
      <c r="T187" s="113" t="s">
        <v>563</v>
      </c>
      <c r="U187" s="113" t="s">
        <v>563</v>
      </c>
    </row>
    <row r="188" spans="1:23" s="43" customFormat="1" x14ac:dyDescent="0.25">
      <c r="A188" s="37"/>
      <c r="B188" s="37">
        <v>3292</v>
      </c>
      <c r="C188" s="38" t="s">
        <v>270</v>
      </c>
      <c r="D188" s="39">
        <f t="shared" ref="D188:I188" si="91">SUM(D189:D192)</f>
        <v>0</v>
      </c>
      <c r="E188" s="184">
        <f>SUM(E189:E192)</f>
        <v>74.290000000000006</v>
      </c>
      <c r="F188" s="184">
        <f t="shared" ref="F188" si="92">SUM(F189:F192)</f>
        <v>1977.6</v>
      </c>
      <c r="G188" s="39">
        <f t="shared" si="91"/>
        <v>8000</v>
      </c>
      <c r="H188" s="39">
        <f>SUM(H189:H192)</f>
        <v>8000</v>
      </c>
      <c r="I188" s="39">
        <f t="shared" si="91"/>
        <v>1977.6</v>
      </c>
      <c r="J188" s="8">
        <f>IFERROR(SUM(H188/E188),0)*100</f>
        <v>10768.609503297885</v>
      </c>
      <c r="K188" s="98">
        <f t="shared" ref="K188:K258" si="93">IFERROR(SUM(H188/G188),0)*100</f>
        <v>100</v>
      </c>
    </row>
    <row r="189" spans="1:23" s="43" customFormat="1" x14ac:dyDescent="0.25">
      <c r="A189" s="20">
        <v>151</v>
      </c>
      <c r="B189" s="20">
        <v>32921</v>
      </c>
      <c r="C189" s="21" t="s">
        <v>271</v>
      </c>
      <c r="D189" s="155"/>
      <c r="E189" s="185">
        <v>74.290000000000006</v>
      </c>
      <c r="F189" s="185">
        <v>1977.6</v>
      </c>
      <c r="G189" s="42">
        <v>2000</v>
      </c>
      <c r="H189" s="42">
        <v>3000</v>
      </c>
      <c r="I189" s="42">
        <v>1977.6</v>
      </c>
      <c r="J189" s="8">
        <f>IFERROR(SUM(H189/E189),0)*100</f>
        <v>4038.2285637367067</v>
      </c>
      <c r="K189" s="98">
        <f t="shared" si="93"/>
        <v>150</v>
      </c>
      <c r="L189" s="103">
        <v>11</v>
      </c>
      <c r="M189" s="77">
        <v>11</v>
      </c>
      <c r="N189" s="76">
        <v>11</v>
      </c>
      <c r="O189" s="76">
        <v>11</v>
      </c>
      <c r="P189" s="102">
        <v>11</v>
      </c>
      <c r="Q189" s="74" t="s">
        <v>563</v>
      </c>
      <c r="R189" s="74" t="s">
        <v>563</v>
      </c>
      <c r="S189" s="74" t="s">
        <v>563</v>
      </c>
      <c r="T189" s="113" t="s">
        <v>563</v>
      </c>
      <c r="U189" s="113" t="s">
        <v>563</v>
      </c>
    </row>
    <row r="190" spans="1:23" s="43" customFormat="1" x14ac:dyDescent="0.25">
      <c r="A190" s="15">
        <v>152</v>
      </c>
      <c r="B190" s="15">
        <v>32922</v>
      </c>
      <c r="C190" s="16" t="s">
        <v>272</v>
      </c>
      <c r="D190" s="45"/>
      <c r="E190" s="185"/>
      <c r="F190" s="185"/>
      <c r="G190" s="42">
        <v>5000</v>
      </c>
      <c r="H190" s="42">
        <v>5000</v>
      </c>
      <c r="I190" s="42"/>
      <c r="J190" s="8">
        <f>IFERROR(SUM(H190/E190),0)*100</f>
        <v>0</v>
      </c>
      <c r="K190" s="98">
        <f t="shared" si="93"/>
        <v>100</v>
      </c>
      <c r="L190" s="103">
        <v>11</v>
      </c>
      <c r="M190" s="77">
        <v>11</v>
      </c>
      <c r="N190" s="76">
        <v>11</v>
      </c>
      <c r="O190" s="76">
        <v>11</v>
      </c>
      <c r="P190" s="102">
        <v>11</v>
      </c>
      <c r="Q190" s="74" t="s">
        <v>563</v>
      </c>
      <c r="R190" s="74" t="s">
        <v>563</v>
      </c>
      <c r="S190" s="74" t="s">
        <v>563</v>
      </c>
      <c r="T190" s="113" t="s">
        <v>563</v>
      </c>
      <c r="U190" s="113" t="s">
        <v>563</v>
      </c>
    </row>
    <row r="191" spans="1:23" s="43" customFormat="1" x14ac:dyDescent="0.25">
      <c r="A191" s="20"/>
      <c r="B191" s="15"/>
      <c r="C191" s="16" t="s">
        <v>884</v>
      </c>
      <c r="D191" s="45"/>
      <c r="E191" s="185"/>
      <c r="F191" s="185"/>
      <c r="G191" s="42">
        <v>500</v>
      </c>
      <c r="H191" s="42"/>
      <c r="I191" s="42"/>
      <c r="J191" s="8"/>
      <c r="K191" s="98"/>
      <c r="L191" s="103">
        <v>11</v>
      </c>
      <c r="M191" s="77">
        <v>11</v>
      </c>
      <c r="N191" s="76">
        <v>11</v>
      </c>
      <c r="O191" s="76">
        <v>11</v>
      </c>
      <c r="P191" s="102">
        <v>11</v>
      </c>
      <c r="Q191" s="74" t="s">
        <v>603</v>
      </c>
      <c r="R191" s="74" t="s">
        <v>603</v>
      </c>
      <c r="S191" s="74" t="s">
        <v>603</v>
      </c>
      <c r="T191" s="74" t="s">
        <v>603</v>
      </c>
      <c r="U191" s="74" t="s">
        <v>603</v>
      </c>
    </row>
    <row r="192" spans="1:23" s="43" customFormat="1" x14ac:dyDescent="0.25">
      <c r="A192" s="15">
        <v>153</v>
      </c>
      <c r="B192" s="15">
        <v>32923</v>
      </c>
      <c r="C192" s="16" t="s">
        <v>273</v>
      </c>
      <c r="D192" s="45"/>
      <c r="E192" s="185"/>
      <c r="F192" s="185"/>
      <c r="G192" s="42">
        <v>500</v>
      </c>
      <c r="H192" s="42"/>
      <c r="I192" s="42"/>
      <c r="J192" s="8">
        <f t="shared" ref="J192:J205" si="94">IFERROR(SUM(H192/E192),0)*100</f>
        <v>0</v>
      </c>
      <c r="K192" s="98">
        <f t="shared" si="93"/>
        <v>0</v>
      </c>
      <c r="L192" s="103">
        <v>11</v>
      </c>
      <c r="M192" s="77">
        <v>11</v>
      </c>
      <c r="N192" s="76">
        <v>11</v>
      </c>
      <c r="O192" s="76">
        <v>11</v>
      </c>
      <c r="P192" s="102">
        <v>11</v>
      </c>
      <c r="Q192" s="74" t="s">
        <v>567</v>
      </c>
      <c r="R192" s="74" t="s">
        <v>567</v>
      </c>
      <c r="S192" s="74" t="s">
        <v>567</v>
      </c>
      <c r="T192" s="113" t="s">
        <v>567</v>
      </c>
      <c r="U192" s="113" t="s">
        <v>567</v>
      </c>
      <c r="V192" s="41"/>
      <c r="W192" s="41"/>
    </row>
    <row r="193" spans="1:23" s="41" customFormat="1" x14ac:dyDescent="0.25">
      <c r="A193" s="37"/>
      <c r="B193" s="37">
        <v>3293</v>
      </c>
      <c r="C193" s="38" t="s">
        <v>274</v>
      </c>
      <c r="D193" s="39">
        <f t="shared" ref="D193:I193" si="95">SUM(D194:D200)</f>
        <v>0</v>
      </c>
      <c r="E193" s="184">
        <f>SUM(E194:E200)</f>
        <v>9836.06</v>
      </c>
      <c r="F193" s="184">
        <f t="shared" ref="F193" si="96">SUM(F194:F200)</f>
        <v>69033.989999999991</v>
      </c>
      <c r="G193" s="39">
        <f t="shared" si="95"/>
        <v>64000</v>
      </c>
      <c r="H193" s="39">
        <f>SUM(H194:H200)</f>
        <v>72300</v>
      </c>
      <c r="I193" s="39">
        <f t="shared" si="95"/>
        <v>69033.989999999991</v>
      </c>
      <c r="J193" s="8">
        <f t="shared" si="94"/>
        <v>735.05041652856949</v>
      </c>
      <c r="K193" s="98">
        <f t="shared" si="93"/>
        <v>112.96875</v>
      </c>
      <c r="V193" s="43"/>
      <c r="W193" s="43"/>
    </row>
    <row r="194" spans="1:23" s="43" customFormat="1" x14ac:dyDescent="0.25">
      <c r="A194" s="15">
        <v>154</v>
      </c>
      <c r="B194" s="15">
        <v>329311</v>
      </c>
      <c r="C194" s="16" t="s">
        <v>275</v>
      </c>
      <c r="D194" s="45"/>
      <c r="E194" s="185">
        <v>6472.23</v>
      </c>
      <c r="F194" s="185">
        <v>17386.21</v>
      </c>
      <c r="G194" s="42">
        <v>11000</v>
      </c>
      <c r="H194" s="42">
        <v>14000</v>
      </c>
      <c r="I194" s="42">
        <v>17386.21</v>
      </c>
      <c r="J194" s="8">
        <f t="shared" si="94"/>
        <v>216.30875293368749</v>
      </c>
      <c r="K194" s="98">
        <f t="shared" si="93"/>
        <v>127.27272727272727</v>
      </c>
      <c r="L194" s="103">
        <v>11</v>
      </c>
      <c r="M194" s="77">
        <v>11</v>
      </c>
      <c r="N194" s="76">
        <v>11</v>
      </c>
      <c r="O194" s="76">
        <v>11</v>
      </c>
      <c r="P194" s="102">
        <v>11</v>
      </c>
      <c r="Q194" s="74" t="s">
        <v>563</v>
      </c>
      <c r="R194" s="74" t="s">
        <v>563</v>
      </c>
      <c r="S194" s="74" t="s">
        <v>563</v>
      </c>
      <c r="T194" s="113" t="s">
        <v>563</v>
      </c>
      <c r="U194" s="113" t="s">
        <v>563</v>
      </c>
      <c r="V194" s="41"/>
      <c r="W194" s="41"/>
    </row>
    <row r="195" spans="1:23" s="41" customFormat="1" x14ac:dyDescent="0.25">
      <c r="A195" s="15">
        <v>155</v>
      </c>
      <c r="B195" s="15">
        <v>329312</v>
      </c>
      <c r="C195" s="16" t="s">
        <v>276</v>
      </c>
      <c r="D195" s="45"/>
      <c r="E195" s="185">
        <v>342.63</v>
      </c>
      <c r="F195" s="185">
        <v>4220.96</v>
      </c>
      <c r="G195" s="42">
        <v>4000</v>
      </c>
      <c r="H195" s="42">
        <v>4000</v>
      </c>
      <c r="I195" s="42">
        <v>4220.96</v>
      </c>
      <c r="J195" s="8">
        <f t="shared" si="94"/>
        <v>1167.4400957300879</v>
      </c>
      <c r="K195" s="98">
        <f t="shared" si="93"/>
        <v>100</v>
      </c>
      <c r="L195" s="103">
        <v>11</v>
      </c>
      <c r="M195" s="77">
        <v>11</v>
      </c>
      <c r="N195" s="76">
        <v>11</v>
      </c>
      <c r="O195" s="76">
        <v>11</v>
      </c>
      <c r="P195" s="102">
        <v>11</v>
      </c>
      <c r="Q195" s="74" t="s">
        <v>563</v>
      </c>
      <c r="R195" s="74" t="s">
        <v>563</v>
      </c>
      <c r="S195" s="74" t="s">
        <v>563</v>
      </c>
      <c r="T195" s="112" t="s">
        <v>563</v>
      </c>
      <c r="U195" s="112" t="s">
        <v>563</v>
      </c>
      <c r="V195" s="43"/>
      <c r="W195" s="43"/>
    </row>
    <row r="196" spans="1:23" s="43" customFormat="1" x14ac:dyDescent="0.25">
      <c r="A196" s="15">
        <v>156</v>
      </c>
      <c r="B196" s="15">
        <v>329313</v>
      </c>
      <c r="C196" s="16" t="s">
        <v>277</v>
      </c>
      <c r="D196" s="45"/>
      <c r="E196" s="185">
        <v>1465</v>
      </c>
      <c r="F196" s="185">
        <v>5649</v>
      </c>
      <c r="G196" s="42">
        <v>3000</v>
      </c>
      <c r="H196" s="42">
        <v>8000</v>
      </c>
      <c r="I196" s="42">
        <v>5649</v>
      </c>
      <c r="J196" s="8">
        <f t="shared" si="94"/>
        <v>546.07508532423208</v>
      </c>
      <c r="K196" s="98">
        <f t="shared" si="93"/>
        <v>266.66666666666663</v>
      </c>
      <c r="L196" s="103">
        <v>11</v>
      </c>
      <c r="M196" s="77">
        <v>11</v>
      </c>
      <c r="N196" s="76">
        <v>11</v>
      </c>
      <c r="O196" s="76">
        <v>11</v>
      </c>
      <c r="P196" s="102">
        <v>11</v>
      </c>
      <c r="Q196" s="74" t="s">
        <v>671</v>
      </c>
      <c r="R196" s="74" t="s">
        <v>671</v>
      </c>
      <c r="S196" s="74" t="s">
        <v>671</v>
      </c>
      <c r="T196" s="113" t="s">
        <v>671</v>
      </c>
      <c r="U196" s="113" t="s">
        <v>671</v>
      </c>
    </row>
    <row r="197" spans="1:23" s="43" customFormat="1" x14ac:dyDescent="0.25">
      <c r="A197" s="15">
        <v>157</v>
      </c>
      <c r="B197" s="15">
        <v>329314</v>
      </c>
      <c r="C197" s="16" t="s">
        <v>278</v>
      </c>
      <c r="D197" s="45"/>
      <c r="E197" s="185">
        <v>1125.74</v>
      </c>
      <c r="F197" s="185">
        <v>1125.74</v>
      </c>
      <c r="G197" s="42">
        <v>3000</v>
      </c>
      <c r="H197" s="42">
        <v>3000</v>
      </c>
      <c r="I197" s="42">
        <v>1125.74</v>
      </c>
      <c r="J197" s="8">
        <f t="shared" si="94"/>
        <v>266.49137456250998</v>
      </c>
      <c r="K197" s="98">
        <f t="shared" si="93"/>
        <v>100</v>
      </c>
      <c r="L197" s="103">
        <v>11</v>
      </c>
      <c r="M197" s="77">
        <v>11</v>
      </c>
      <c r="N197" s="76">
        <v>11</v>
      </c>
      <c r="O197" s="76">
        <v>11</v>
      </c>
      <c r="P197" s="102">
        <v>11</v>
      </c>
      <c r="Q197" s="74" t="s">
        <v>563</v>
      </c>
      <c r="R197" s="74" t="s">
        <v>563</v>
      </c>
      <c r="S197" s="74" t="s">
        <v>563</v>
      </c>
      <c r="T197" s="113" t="s">
        <v>563</v>
      </c>
      <c r="U197" s="113" t="s">
        <v>563</v>
      </c>
    </row>
    <row r="198" spans="1:23" s="43" customFormat="1" x14ac:dyDescent="0.25">
      <c r="A198" s="15">
        <v>158</v>
      </c>
      <c r="B198" s="15">
        <v>329315</v>
      </c>
      <c r="C198" s="16" t="s">
        <v>279</v>
      </c>
      <c r="D198" s="45"/>
      <c r="E198" s="185"/>
      <c r="F198" s="185">
        <v>39665.32</v>
      </c>
      <c r="G198" s="42">
        <v>40000</v>
      </c>
      <c r="H198" s="42">
        <v>42000</v>
      </c>
      <c r="I198" s="42">
        <v>39665.32</v>
      </c>
      <c r="J198" s="8">
        <f t="shared" si="94"/>
        <v>0</v>
      </c>
      <c r="K198" s="98">
        <f t="shared" si="93"/>
        <v>105</v>
      </c>
      <c r="L198" s="103">
        <v>11</v>
      </c>
      <c r="M198" s="77">
        <v>11</v>
      </c>
      <c r="N198" s="76">
        <v>11</v>
      </c>
      <c r="O198" s="76">
        <v>11</v>
      </c>
      <c r="P198" s="102">
        <v>11</v>
      </c>
      <c r="Q198" s="74" t="s">
        <v>563</v>
      </c>
      <c r="R198" s="74" t="s">
        <v>563</v>
      </c>
      <c r="S198" s="74" t="s">
        <v>563</v>
      </c>
      <c r="T198" s="113" t="s">
        <v>563</v>
      </c>
      <c r="U198" s="113" t="s">
        <v>563</v>
      </c>
    </row>
    <row r="199" spans="1:23" s="43" customFormat="1" x14ac:dyDescent="0.25">
      <c r="A199" s="15"/>
      <c r="B199" s="15">
        <v>329316</v>
      </c>
      <c r="C199" s="16" t="s">
        <v>739</v>
      </c>
      <c r="D199" s="45"/>
      <c r="E199" s="185">
        <v>199.06</v>
      </c>
      <c r="F199" s="185">
        <v>755.36</v>
      </c>
      <c r="G199" s="42"/>
      <c r="H199" s="42">
        <v>800</v>
      </c>
      <c r="I199" s="42">
        <v>755.36</v>
      </c>
      <c r="J199" s="8">
        <f t="shared" si="94"/>
        <v>401.88887772530899</v>
      </c>
      <c r="K199" s="98">
        <f t="shared" si="93"/>
        <v>0</v>
      </c>
      <c r="L199" s="103">
        <v>41</v>
      </c>
      <c r="M199" s="77">
        <v>41</v>
      </c>
      <c r="N199" s="76">
        <v>41</v>
      </c>
      <c r="O199" s="76">
        <v>41</v>
      </c>
      <c r="P199" s="102">
        <v>41</v>
      </c>
      <c r="Q199" s="74" t="s">
        <v>703</v>
      </c>
      <c r="R199" s="74" t="s">
        <v>703</v>
      </c>
      <c r="S199" s="74" t="s">
        <v>703</v>
      </c>
      <c r="T199" s="113" t="s">
        <v>703</v>
      </c>
      <c r="U199" s="113" t="s">
        <v>703</v>
      </c>
    </row>
    <row r="200" spans="1:23" s="43" customFormat="1" x14ac:dyDescent="0.25">
      <c r="A200" s="15"/>
      <c r="B200" s="15">
        <v>329317</v>
      </c>
      <c r="C200" s="16" t="s">
        <v>845</v>
      </c>
      <c r="D200" s="45"/>
      <c r="E200" s="185">
        <v>231.4</v>
      </c>
      <c r="F200" s="185">
        <v>231.4</v>
      </c>
      <c r="G200" s="42">
        <v>3000</v>
      </c>
      <c r="H200" s="42">
        <v>500</v>
      </c>
      <c r="I200" s="42">
        <v>231.4</v>
      </c>
      <c r="J200" s="17">
        <f t="shared" si="94"/>
        <v>216.07605877268799</v>
      </c>
      <c r="K200" s="131">
        <f t="shared" si="93"/>
        <v>16.666666666666664</v>
      </c>
      <c r="L200" s="114">
        <v>41</v>
      </c>
      <c r="M200" s="115">
        <v>41</v>
      </c>
      <c r="N200" s="116">
        <v>41</v>
      </c>
      <c r="O200" s="116">
        <v>41</v>
      </c>
      <c r="P200" s="117">
        <v>41</v>
      </c>
      <c r="Q200" s="118" t="s">
        <v>563</v>
      </c>
      <c r="R200" s="118" t="s">
        <v>563</v>
      </c>
      <c r="S200" s="118" t="s">
        <v>563</v>
      </c>
      <c r="T200" s="113" t="s">
        <v>563</v>
      </c>
      <c r="U200" s="113" t="s">
        <v>563</v>
      </c>
    </row>
    <row r="201" spans="1:23" s="43" customFormat="1" x14ac:dyDescent="0.25">
      <c r="A201" s="37"/>
      <c r="B201" s="37">
        <v>3294</v>
      </c>
      <c r="C201" s="38" t="s">
        <v>396</v>
      </c>
      <c r="D201" s="39">
        <f t="shared" ref="D201:I201" si="97">SUM(D202)</f>
        <v>0</v>
      </c>
      <c r="E201" s="187">
        <f t="shared" si="97"/>
        <v>30.53</v>
      </c>
      <c r="F201" s="187">
        <f t="shared" si="97"/>
        <v>2104.19</v>
      </c>
      <c r="G201" s="40">
        <f t="shared" si="97"/>
        <v>4000</v>
      </c>
      <c r="H201" s="40">
        <f t="shared" si="97"/>
        <v>2200</v>
      </c>
      <c r="I201" s="40">
        <f t="shared" si="97"/>
        <v>2104.19</v>
      </c>
      <c r="J201" s="8">
        <f t="shared" si="94"/>
        <v>7206.026858827383</v>
      </c>
      <c r="K201" s="98">
        <f t="shared" si="93"/>
        <v>55.000000000000007</v>
      </c>
      <c r="V201" s="41"/>
      <c r="W201" s="41"/>
    </row>
    <row r="202" spans="1:23" s="41" customFormat="1" x14ac:dyDescent="0.25">
      <c r="A202" s="15"/>
      <c r="B202" s="15">
        <v>329411</v>
      </c>
      <c r="C202" s="16" t="s">
        <v>397</v>
      </c>
      <c r="D202" s="45"/>
      <c r="E202" s="185">
        <v>30.53</v>
      </c>
      <c r="F202" s="185">
        <v>2104.19</v>
      </c>
      <c r="G202" s="42">
        <v>4000</v>
      </c>
      <c r="H202" s="42">
        <v>2200</v>
      </c>
      <c r="I202" s="42">
        <v>2104.19</v>
      </c>
      <c r="J202" s="8">
        <f t="shared" si="94"/>
        <v>7206.026858827383</v>
      </c>
      <c r="K202" s="98">
        <f t="shared" si="93"/>
        <v>55.000000000000007</v>
      </c>
      <c r="L202" s="103">
        <v>11</v>
      </c>
      <c r="M202" s="77">
        <v>11</v>
      </c>
      <c r="N202" s="76">
        <v>11</v>
      </c>
      <c r="O202" s="76">
        <v>11</v>
      </c>
      <c r="P202" s="102">
        <v>11</v>
      </c>
      <c r="Q202" s="74" t="s">
        <v>563</v>
      </c>
      <c r="R202" s="74" t="s">
        <v>563</v>
      </c>
      <c r="S202" s="74" t="s">
        <v>563</v>
      </c>
      <c r="T202" s="112" t="s">
        <v>563</v>
      </c>
      <c r="U202" s="112" t="s">
        <v>563</v>
      </c>
      <c r="V202" s="43"/>
      <c r="W202" s="43"/>
    </row>
    <row r="203" spans="1:23" s="43" customFormat="1" x14ac:dyDescent="0.25">
      <c r="A203" s="37"/>
      <c r="B203" s="37">
        <v>3295</v>
      </c>
      <c r="C203" s="38" t="s">
        <v>280</v>
      </c>
      <c r="D203" s="39">
        <f t="shared" ref="D203:I203" si="98">SUM(D204:D207)</f>
        <v>0</v>
      </c>
      <c r="E203" s="184">
        <f>SUM(E204:E207)</f>
        <v>126.86999999999999</v>
      </c>
      <c r="F203" s="184">
        <f t="shared" ref="F203" si="99">SUM(F204:F207)</f>
        <v>503.49</v>
      </c>
      <c r="G203" s="39">
        <f t="shared" si="98"/>
        <v>10500</v>
      </c>
      <c r="H203" s="39">
        <f>SUM(H204:H207)</f>
        <v>1200</v>
      </c>
      <c r="I203" s="39">
        <f t="shared" si="98"/>
        <v>503.49</v>
      </c>
      <c r="J203" s="8">
        <f t="shared" si="94"/>
        <v>945.85008276188228</v>
      </c>
      <c r="K203" s="98">
        <f t="shared" si="93"/>
        <v>11.428571428571429</v>
      </c>
    </row>
    <row r="204" spans="1:23" s="43" customFormat="1" x14ac:dyDescent="0.25">
      <c r="A204" s="15">
        <v>160</v>
      </c>
      <c r="B204" s="15">
        <v>329591</v>
      </c>
      <c r="C204" s="16" t="s">
        <v>281</v>
      </c>
      <c r="D204" s="45"/>
      <c r="E204" s="185">
        <v>82.96</v>
      </c>
      <c r="F204" s="185">
        <v>149.32</v>
      </c>
      <c r="G204" s="42">
        <v>4000</v>
      </c>
      <c r="H204" s="42">
        <v>200</v>
      </c>
      <c r="I204" s="42">
        <v>149.32</v>
      </c>
      <c r="J204" s="8">
        <f t="shared" si="94"/>
        <v>241.08003857280619</v>
      </c>
      <c r="K204" s="98">
        <f t="shared" si="93"/>
        <v>5</v>
      </c>
      <c r="L204" s="103">
        <v>11</v>
      </c>
      <c r="M204" s="77">
        <v>11</v>
      </c>
      <c r="N204" s="76">
        <v>11</v>
      </c>
      <c r="O204" s="76">
        <v>11</v>
      </c>
      <c r="P204" s="102">
        <v>11</v>
      </c>
      <c r="Q204" s="74" t="s">
        <v>563</v>
      </c>
      <c r="R204" s="74" t="s">
        <v>563</v>
      </c>
      <c r="S204" s="74" t="s">
        <v>563</v>
      </c>
      <c r="T204" s="113" t="s">
        <v>563</v>
      </c>
      <c r="U204" s="113" t="s">
        <v>563</v>
      </c>
      <c r="V204" s="33"/>
      <c r="W204" s="33"/>
    </row>
    <row r="205" spans="1:23" s="33" customFormat="1" x14ac:dyDescent="0.25">
      <c r="A205" s="15"/>
      <c r="B205" s="15">
        <v>32953</v>
      </c>
      <c r="C205" s="16" t="s">
        <v>395</v>
      </c>
      <c r="D205" s="45"/>
      <c r="E205" s="185">
        <v>43.91</v>
      </c>
      <c r="F205" s="185">
        <v>166.81</v>
      </c>
      <c r="G205" s="42">
        <v>500</v>
      </c>
      <c r="H205" s="42">
        <v>500</v>
      </c>
      <c r="I205" s="42">
        <v>166.81</v>
      </c>
      <c r="J205" s="8">
        <f t="shared" si="94"/>
        <v>1138.6927806877707</v>
      </c>
      <c r="K205" s="98">
        <f t="shared" si="93"/>
        <v>100</v>
      </c>
      <c r="L205" s="103">
        <v>11</v>
      </c>
      <c r="M205" s="77">
        <v>11</v>
      </c>
      <c r="N205" s="76">
        <v>11</v>
      </c>
      <c r="O205" s="76">
        <v>11</v>
      </c>
      <c r="P205" s="102">
        <v>11</v>
      </c>
      <c r="Q205" s="74" t="s">
        <v>563</v>
      </c>
      <c r="R205" s="74" t="s">
        <v>563</v>
      </c>
      <c r="S205" s="74" t="s">
        <v>563</v>
      </c>
      <c r="T205" s="110" t="s">
        <v>563</v>
      </c>
      <c r="U205" s="110" t="s">
        <v>563</v>
      </c>
    </row>
    <row r="206" spans="1:23" s="33" customFormat="1" x14ac:dyDescent="0.25">
      <c r="A206" s="15"/>
      <c r="B206" s="15">
        <v>32955</v>
      </c>
      <c r="C206" s="16" t="s">
        <v>785</v>
      </c>
      <c r="D206" s="45"/>
      <c r="E206" s="185"/>
      <c r="F206" s="185"/>
      <c r="G206" s="42">
        <v>2000</v>
      </c>
      <c r="H206" s="42"/>
      <c r="I206" s="42"/>
      <c r="J206" s="8"/>
      <c r="K206" s="98">
        <f t="shared" si="93"/>
        <v>0</v>
      </c>
      <c r="L206" s="103">
        <v>11</v>
      </c>
      <c r="M206" s="77">
        <v>11</v>
      </c>
      <c r="N206" s="76">
        <v>11</v>
      </c>
      <c r="O206" s="76">
        <v>11</v>
      </c>
      <c r="P206" s="102">
        <v>11</v>
      </c>
      <c r="Q206" s="74" t="s">
        <v>701</v>
      </c>
      <c r="R206" s="74" t="s">
        <v>701</v>
      </c>
      <c r="S206" s="74" t="s">
        <v>701</v>
      </c>
      <c r="T206" s="110" t="s">
        <v>701</v>
      </c>
      <c r="U206" s="110" t="s">
        <v>701</v>
      </c>
      <c r="V206" s="36"/>
      <c r="W206" s="36"/>
    </row>
    <row r="207" spans="1:23" s="36" customFormat="1" x14ac:dyDescent="0.25">
      <c r="A207" s="15">
        <v>161</v>
      </c>
      <c r="B207" s="15">
        <v>329591</v>
      </c>
      <c r="C207" s="16" t="s">
        <v>282</v>
      </c>
      <c r="D207" s="45"/>
      <c r="E207" s="185"/>
      <c r="F207" s="185">
        <v>187.36</v>
      </c>
      <c r="G207" s="42">
        <v>4000</v>
      </c>
      <c r="H207" s="42">
        <v>500</v>
      </c>
      <c r="I207" s="42">
        <v>187.36</v>
      </c>
      <c r="J207" s="8">
        <f t="shared" ref="J207:J228" si="100">IFERROR(SUM(H207/E207),0)*100</f>
        <v>0</v>
      </c>
      <c r="K207" s="98">
        <f t="shared" si="93"/>
        <v>12.5</v>
      </c>
      <c r="L207" s="103">
        <v>11</v>
      </c>
      <c r="M207" s="77">
        <v>11</v>
      </c>
      <c r="N207" s="76">
        <v>11</v>
      </c>
      <c r="O207" s="76">
        <v>11</v>
      </c>
      <c r="P207" s="102">
        <v>11</v>
      </c>
      <c r="Q207" s="74" t="s">
        <v>563</v>
      </c>
      <c r="R207" s="74" t="s">
        <v>563</v>
      </c>
      <c r="S207" s="74" t="s">
        <v>563</v>
      </c>
      <c r="T207" s="111" t="s">
        <v>563</v>
      </c>
      <c r="U207" s="111" t="s">
        <v>563</v>
      </c>
      <c r="V207" s="41"/>
      <c r="W207" s="41"/>
    </row>
    <row r="208" spans="1:23" s="41" customFormat="1" x14ac:dyDescent="0.25">
      <c r="A208" s="37"/>
      <c r="B208" s="37">
        <v>3296</v>
      </c>
      <c r="C208" s="38" t="s">
        <v>398</v>
      </c>
      <c r="D208" s="39">
        <f t="shared" ref="D208:I208" si="101">SUM(D209)</f>
        <v>0</v>
      </c>
      <c r="E208" s="187">
        <f t="shared" si="101"/>
        <v>0</v>
      </c>
      <c r="F208" s="187">
        <f t="shared" si="101"/>
        <v>0</v>
      </c>
      <c r="G208" s="40">
        <f t="shared" si="101"/>
        <v>2500</v>
      </c>
      <c r="H208" s="40">
        <f t="shared" si="101"/>
        <v>0</v>
      </c>
      <c r="I208" s="40">
        <f t="shared" si="101"/>
        <v>0</v>
      </c>
      <c r="J208" s="8">
        <f t="shared" si="100"/>
        <v>0</v>
      </c>
      <c r="K208" s="98">
        <f t="shared" si="93"/>
        <v>0</v>
      </c>
      <c r="V208" s="43"/>
      <c r="W208" s="43"/>
    </row>
    <row r="209" spans="1:23" s="43" customFormat="1" x14ac:dyDescent="0.25">
      <c r="A209" s="15"/>
      <c r="B209" s="15">
        <v>32961</v>
      </c>
      <c r="C209" s="16" t="s">
        <v>387</v>
      </c>
      <c r="D209" s="45"/>
      <c r="E209" s="185"/>
      <c r="F209" s="185"/>
      <c r="G209" s="42">
        <v>2500</v>
      </c>
      <c r="H209" s="42"/>
      <c r="I209" s="42"/>
      <c r="J209" s="8">
        <f t="shared" si="100"/>
        <v>0</v>
      </c>
      <c r="K209" s="98">
        <f t="shared" si="93"/>
        <v>0</v>
      </c>
      <c r="L209" s="103">
        <v>11</v>
      </c>
      <c r="M209" s="77">
        <v>11</v>
      </c>
      <c r="N209" s="76">
        <v>11</v>
      </c>
      <c r="O209" s="76">
        <v>11</v>
      </c>
      <c r="P209" s="102">
        <v>11</v>
      </c>
      <c r="Q209" s="74" t="s">
        <v>563</v>
      </c>
      <c r="R209" s="74" t="s">
        <v>563</v>
      </c>
      <c r="S209" s="74" t="s">
        <v>563</v>
      </c>
      <c r="T209" s="113" t="s">
        <v>563</v>
      </c>
      <c r="U209" s="113" t="s">
        <v>563</v>
      </c>
    </row>
    <row r="210" spans="1:23" s="43" customFormat="1" x14ac:dyDescent="0.25">
      <c r="A210" s="37"/>
      <c r="B210" s="37">
        <v>3299</v>
      </c>
      <c r="C210" s="38" t="s">
        <v>261</v>
      </c>
      <c r="D210" s="39">
        <f t="shared" ref="D210:I210" si="102">SUM(D211:D212)</f>
        <v>0</v>
      </c>
      <c r="E210" s="184">
        <f>SUM(E211:E212)</f>
        <v>857.64</v>
      </c>
      <c r="F210" s="184">
        <f t="shared" ref="F210" si="103">SUM(F211:F212)</f>
        <v>1420.73</v>
      </c>
      <c r="G210" s="39">
        <f t="shared" si="102"/>
        <v>6000</v>
      </c>
      <c r="H210" s="39">
        <f>SUM(H211:H212)</f>
        <v>2200</v>
      </c>
      <c r="I210" s="39">
        <f t="shared" si="102"/>
        <v>1420.73</v>
      </c>
      <c r="J210" s="8">
        <f t="shared" si="100"/>
        <v>256.51788629261694</v>
      </c>
      <c r="K210" s="98">
        <f t="shared" si="93"/>
        <v>36.666666666666664</v>
      </c>
    </row>
    <row r="211" spans="1:23" s="43" customFormat="1" x14ac:dyDescent="0.25">
      <c r="A211" s="15">
        <v>162</v>
      </c>
      <c r="B211" s="15">
        <v>32991</v>
      </c>
      <c r="C211" s="16" t="s">
        <v>283</v>
      </c>
      <c r="D211" s="45"/>
      <c r="E211" s="185">
        <v>857.64</v>
      </c>
      <c r="F211" s="185">
        <v>1420.73</v>
      </c>
      <c r="G211" s="42">
        <v>2000</v>
      </c>
      <c r="H211" s="42">
        <v>1200</v>
      </c>
      <c r="I211" s="42">
        <v>1420.73</v>
      </c>
      <c r="J211" s="8">
        <f t="shared" si="100"/>
        <v>139.91884706870016</v>
      </c>
      <c r="K211" s="98">
        <f t="shared" si="93"/>
        <v>60</v>
      </c>
      <c r="L211" s="103">
        <v>11</v>
      </c>
      <c r="M211" s="77">
        <v>11</v>
      </c>
      <c r="N211" s="76">
        <v>11</v>
      </c>
      <c r="O211" s="76">
        <v>11</v>
      </c>
      <c r="P211" s="102">
        <v>11</v>
      </c>
      <c r="Q211" s="74" t="s">
        <v>563</v>
      </c>
      <c r="R211" s="74" t="s">
        <v>563</v>
      </c>
      <c r="S211" s="74" t="s">
        <v>563</v>
      </c>
      <c r="T211" s="113" t="s">
        <v>563</v>
      </c>
      <c r="U211" s="113" t="s">
        <v>563</v>
      </c>
    </row>
    <row r="212" spans="1:23" s="43" customFormat="1" x14ac:dyDescent="0.25">
      <c r="A212" s="15">
        <v>163</v>
      </c>
      <c r="B212" s="15">
        <v>32999</v>
      </c>
      <c r="C212" s="16" t="s">
        <v>284</v>
      </c>
      <c r="D212" s="45"/>
      <c r="E212" s="185"/>
      <c r="F212" s="185"/>
      <c r="G212" s="42">
        <v>4000</v>
      </c>
      <c r="H212" s="42">
        <v>1000</v>
      </c>
      <c r="I212" s="42"/>
      <c r="J212" s="8">
        <f t="shared" si="100"/>
        <v>0</v>
      </c>
      <c r="K212" s="98">
        <f t="shared" si="93"/>
        <v>25</v>
      </c>
      <c r="L212" s="103">
        <v>21</v>
      </c>
      <c r="M212" s="77">
        <v>21</v>
      </c>
      <c r="N212" s="76">
        <v>21</v>
      </c>
      <c r="O212" s="76">
        <v>21</v>
      </c>
      <c r="P212" s="102">
        <v>21</v>
      </c>
      <c r="Q212" s="74" t="s">
        <v>563</v>
      </c>
      <c r="R212" s="74" t="s">
        <v>563</v>
      </c>
      <c r="S212" s="74" t="s">
        <v>563</v>
      </c>
      <c r="T212" s="113" t="s">
        <v>563</v>
      </c>
      <c r="U212" s="113" t="s">
        <v>563</v>
      </c>
    </row>
    <row r="213" spans="1:23" s="43" customFormat="1" x14ac:dyDescent="0.25">
      <c r="A213" s="6"/>
      <c r="B213" s="6">
        <v>34</v>
      </c>
      <c r="C213" s="10" t="s">
        <v>285</v>
      </c>
      <c r="D213" s="32">
        <f>SUM(D214)</f>
        <v>0</v>
      </c>
      <c r="E213" s="180">
        <f t="shared" ref="E213:I214" si="104">SUM(E214)</f>
        <v>2456.34</v>
      </c>
      <c r="F213" s="180">
        <f t="shared" si="104"/>
        <v>5121.6400000000003</v>
      </c>
      <c r="G213" s="32">
        <f t="shared" si="104"/>
        <v>8000</v>
      </c>
      <c r="H213" s="32">
        <f t="shared" si="104"/>
        <v>6000</v>
      </c>
      <c r="I213" s="32">
        <f t="shared" si="104"/>
        <v>5121.6400000000003</v>
      </c>
      <c r="J213" s="8">
        <f t="shared" si="100"/>
        <v>244.26585896089304</v>
      </c>
      <c r="K213" s="98">
        <f t="shared" si="93"/>
        <v>75</v>
      </c>
      <c r="L213" s="103"/>
      <c r="M213" s="77"/>
      <c r="N213" s="76"/>
      <c r="O213" s="76"/>
      <c r="P213" s="102"/>
      <c r="Q213" s="74"/>
      <c r="R213" s="74"/>
      <c r="S213" s="74"/>
      <c r="T213" s="113"/>
      <c r="U213" s="113"/>
    </row>
    <row r="214" spans="1:23" s="43" customFormat="1" x14ac:dyDescent="0.25">
      <c r="A214" s="11"/>
      <c r="B214" s="11">
        <v>343</v>
      </c>
      <c r="C214" s="12" t="s">
        <v>286</v>
      </c>
      <c r="D214" s="13">
        <f>SUM(D215)</f>
        <v>0</v>
      </c>
      <c r="E214" s="186">
        <f t="shared" si="104"/>
        <v>2456.34</v>
      </c>
      <c r="F214" s="186">
        <f t="shared" si="104"/>
        <v>5121.6400000000003</v>
      </c>
      <c r="G214" s="13">
        <f t="shared" si="104"/>
        <v>8000</v>
      </c>
      <c r="H214" s="13">
        <f t="shared" si="104"/>
        <v>6000</v>
      </c>
      <c r="I214" s="13">
        <f t="shared" si="104"/>
        <v>5121.6400000000003</v>
      </c>
      <c r="J214" s="8">
        <f t="shared" si="100"/>
        <v>244.26585896089304</v>
      </c>
      <c r="K214" s="98">
        <f t="shared" si="93"/>
        <v>75</v>
      </c>
      <c r="L214" s="103"/>
      <c r="M214" s="77"/>
      <c r="N214" s="76"/>
      <c r="O214" s="76"/>
      <c r="P214" s="102"/>
      <c r="Q214" s="74"/>
      <c r="R214" s="74"/>
      <c r="S214" s="74"/>
      <c r="T214" s="113"/>
      <c r="U214" s="113"/>
    </row>
    <row r="215" spans="1:23" s="43" customFormat="1" x14ac:dyDescent="0.25">
      <c r="A215" s="37"/>
      <c r="B215" s="37">
        <v>3431</v>
      </c>
      <c r="C215" s="38" t="s">
        <v>286</v>
      </c>
      <c r="D215" s="39">
        <f t="shared" ref="D215:I215" si="105">SUM(D216:D220)</f>
        <v>0</v>
      </c>
      <c r="E215" s="184">
        <f>SUM(E216:E220)</f>
        <v>2456.34</v>
      </c>
      <c r="F215" s="184">
        <f t="shared" ref="F215" si="106">SUM(F216:F220)</f>
        <v>5121.6400000000003</v>
      </c>
      <c r="G215" s="39">
        <f t="shared" si="105"/>
        <v>8000</v>
      </c>
      <c r="H215" s="39">
        <f>SUM(H216:H220)</f>
        <v>6000</v>
      </c>
      <c r="I215" s="39">
        <f t="shared" si="105"/>
        <v>5121.6400000000003</v>
      </c>
      <c r="J215" s="8">
        <f t="shared" si="100"/>
        <v>244.26585896089304</v>
      </c>
      <c r="K215" s="98">
        <f t="shared" si="93"/>
        <v>75</v>
      </c>
    </row>
    <row r="216" spans="1:23" s="43" customFormat="1" x14ac:dyDescent="0.25">
      <c r="A216" s="15">
        <v>164</v>
      </c>
      <c r="B216" s="15">
        <v>34311</v>
      </c>
      <c r="C216" s="16" t="s">
        <v>287</v>
      </c>
      <c r="D216" s="45"/>
      <c r="E216" s="185">
        <v>2113.0700000000002</v>
      </c>
      <c r="F216" s="185">
        <v>4325.62</v>
      </c>
      <c r="G216" s="42">
        <v>4000</v>
      </c>
      <c r="H216" s="42">
        <v>4500</v>
      </c>
      <c r="I216" s="42">
        <v>4325.62</v>
      </c>
      <c r="J216" s="8">
        <f t="shared" si="100"/>
        <v>212.96029000459046</v>
      </c>
      <c r="K216" s="98">
        <f t="shared" si="93"/>
        <v>112.5</v>
      </c>
      <c r="L216" s="103">
        <v>21</v>
      </c>
      <c r="M216" s="77">
        <v>21</v>
      </c>
      <c r="N216" s="76">
        <v>21</v>
      </c>
      <c r="O216" s="76">
        <v>21</v>
      </c>
      <c r="P216" s="102">
        <v>21</v>
      </c>
      <c r="Q216" s="74" t="s">
        <v>563</v>
      </c>
      <c r="R216" s="74" t="s">
        <v>563</v>
      </c>
      <c r="S216" s="74" t="s">
        <v>563</v>
      </c>
      <c r="T216" s="113" t="s">
        <v>563</v>
      </c>
      <c r="U216" s="113" t="s">
        <v>563</v>
      </c>
    </row>
    <row r="217" spans="1:23" s="43" customFormat="1" x14ac:dyDescent="0.25">
      <c r="A217" s="15">
        <v>165</v>
      </c>
      <c r="B217" s="15">
        <v>343112</v>
      </c>
      <c r="C217" s="16" t="s">
        <v>109</v>
      </c>
      <c r="D217" s="45"/>
      <c r="E217" s="185">
        <v>7.69</v>
      </c>
      <c r="F217" s="185">
        <v>14.77</v>
      </c>
      <c r="G217" s="42"/>
      <c r="H217" s="42"/>
      <c r="I217" s="42">
        <v>14.77</v>
      </c>
      <c r="J217" s="8">
        <f t="shared" si="100"/>
        <v>0</v>
      </c>
      <c r="K217" s="98">
        <f t="shared" si="93"/>
        <v>0</v>
      </c>
      <c r="L217" s="103">
        <v>21</v>
      </c>
      <c r="M217" s="77">
        <v>21</v>
      </c>
      <c r="N217" s="76">
        <v>21</v>
      </c>
      <c r="O217" s="76">
        <v>21</v>
      </c>
      <c r="P217" s="102">
        <v>21</v>
      </c>
      <c r="Q217" s="74" t="s">
        <v>563</v>
      </c>
      <c r="R217" s="74" t="s">
        <v>563</v>
      </c>
      <c r="S217" s="74" t="s">
        <v>563</v>
      </c>
      <c r="T217" s="113" t="s">
        <v>563</v>
      </c>
      <c r="U217" s="113" t="s">
        <v>563</v>
      </c>
      <c r="V217" s="36"/>
      <c r="W217" s="36"/>
    </row>
    <row r="218" spans="1:23" s="36" customFormat="1" ht="48" customHeight="1" x14ac:dyDescent="0.25">
      <c r="A218" s="15">
        <v>166</v>
      </c>
      <c r="B218" s="15">
        <v>34333</v>
      </c>
      <c r="C218" s="16" t="s">
        <v>288</v>
      </c>
      <c r="D218" s="45"/>
      <c r="E218" s="185"/>
      <c r="F218" s="185">
        <v>40.729999999999997</v>
      </c>
      <c r="G218" s="42">
        <v>500</v>
      </c>
      <c r="H218" s="42">
        <v>100</v>
      </c>
      <c r="I218" s="42">
        <v>40.729999999999997</v>
      </c>
      <c r="J218" s="8">
        <f t="shared" si="100"/>
        <v>0</v>
      </c>
      <c r="K218" s="98">
        <f t="shared" si="93"/>
        <v>20</v>
      </c>
      <c r="L218" s="103">
        <v>21</v>
      </c>
      <c r="M218" s="77">
        <v>21</v>
      </c>
      <c r="N218" s="76">
        <v>21</v>
      </c>
      <c r="O218" s="76">
        <v>21</v>
      </c>
      <c r="P218" s="102">
        <v>21</v>
      </c>
      <c r="Q218" s="74" t="s">
        <v>563</v>
      </c>
      <c r="R218" s="74" t="s">
        <v>563</v>
      </c>
      <c r="S218" s="74" t="s">
        <v>563</v>
      </c>
      <c r="T218" s="111" t="s">
        <v>563</v>
      </c>
      <c r="U218" s="111" t="s">
        <v>563</v>
      </c>
      <c r="V218" s="41"/>
      <c r="W218" s="41"/>
    </row>
    <row r="219" spans="1:23" s="41" customFormat="1" ht="20.25" customHeight="1" x14ac:dyDescent="0.25">
      <c r="A219" s="15">
        <v>167</v>
      </c>
      <c r="B219" s="15">
        <v>34312</v>
      </c>
      <c r="C219" s="16" t="s">
        <v>289</v>
      </c>
      <c r="D219" s="45"/>
      <c r="E219" s="185">
        <v>170.12</v>
      </c>
      <c r="F219" s="185">
        <v>314.81</v>
      </c>
      <c r="G219" s="42">
        <v>500</v>
      </c>
      <c r="H219" s="42">
        <v>400</v>
      </c>
      <c r="I219" s="42">
        <v>314.81</v>
      </c>
      <c r="J219" s="8">
        <f t="shared" si="100"/>
        <v>235.1281448389372</v>
      </c>
      <c r="K219" s="98">
        <f t="shared" si="93"/>
        <v>80</v>
      </c>
      <c r="L219" s="103">
        <v>21</v>
      </c>
      <c r="M219" s="77">
        <v>21</v>
      </c>
      <c r="N219" s="76">
        <v>21</v>
      </c>
      <c r="O219" s="76">
        <v>21</v>
      </c>
      <c r="P219" s="102">
        <v>21</v>
      </c>
      <c r="Q219" s="74" t="s">
        <v>563</v>
      </c>
      <c r="R219" s="74" t="s">
        <v>563</v>
      </c>
      <c r="S219" s="74" t="s">
        <v>563</v>
      </c>
      <c r="T219" s="112" t="s">
        <v>563</v>
      </c>
      <c r="U219" s="112" t="s">
        <v>563</v>
      </c>
      <c r="V219" s="43"/>
      <c r="W219" s="43"/>
    </row>
    <row r="220" spans="1:23" s="43" customFormat="1" ht="19.5" customHeight="1" x14ac:dyDescent="0.25">
      <c r="A220" s="15">
        <v>168</v>
      </c>
      <c r="B220" s="15">
        <v>34349</v>
      </c>
      <c r="C220" s="16" t="s">
        <v>290</v>
      </c>
      <c r="D220" s="45"/>
      <c r="E220" s="185">
        <v>165.46</v>
      </c>
      <c r="F220" s="185">
        <v>425.71</v>
      </c>
      <c r="G220" s="42">
        <v>3000</v>
      </c>
      <c r="H220" s="42">
        <v>1000</v>
      </c>
      <c r="I220" s="42">
        <v>425.71</v>
      </c>
      <c r="J220" s="8">
        <f t="shared" si="100"/>
        <v>604.37567992263985</v>
      </c>
      <c r="K220" s="98">
        <f t="shared" si="93"/>
        <v>33.333333333333329</v>
      </c>
      <c r="L220" s="103">
        <v>21</v>
      </c>
      <c r="M220" s="77">
        <v>21</v>
      </c>
      <c r="N220" s="76">
        <v>21</v>
      </c>
      <c r="O220" s="76">
        <v>21</v>
      </c>
      <c r="P220" s="102">
        <v>21</v>
      </c>
      <c r="Q220" s="74" t="s">
        <v>563</v>
      </c>
      <c r="R220" s="74" t="s">
        <v>563</v>
      </c>
      <c r="S220" s="74" t="s">
        <v>563</v>
      </c>
      <c r="T220" s="113" t="s">
        <v>563</v>
      </c>
      <c r="U220" s="113" t="s">
        <v>563</v>
      </c>
    </row>
    <row r="221" spans="1:23" s="43" customFormat="1" ht="17.25" customHeight="1" x14ac:dyDescent="0.25">
      <c r="A221" s="6"/>
      <c r="B221" s="6">
        <v>35</v>
      </c>
      <c r="C221" s="78" t="s">
        <v>461</v>
      </c>
      <c r="D221" s="32">
        <f t="shared" ref="D221:I221" si="107">SUM(D222+D225)</f>
        <v>0</v>
      </c>
      <c r="E221" s="180">
        <f>SUM(E222+E225)</f>
        <v>0</v>
      </c>
      <c r="F221" s="180">
        <f t="shared" ref="F221" si="108">SUM(F222+F225)</f>
        <v>0</v>
      </c>
      <c r="G221" s="32">
        <f t="shared" si="107"/>
        <v>14000</v>
      </c>
      <c r="H221" s="32">
        <f>SUM(H222+H225)</f>
        <v>0</v>
      </c>
      <c r="I221" s="32">
        <f t="shared" si="107"/>
        <v>0</v>
      </c>
      <c r="J221" s="8">
        <f t="shared" si="100"/>
        <v>0</v>
      </c>
      <c r="K221" s="98">
        <f t="shared" si="93"/>
        <v>0</v>
      </c>
      <c r="L221" s="103"/>
      <c r="M221" s="77"/>
      <c r="N221" s="76"/>
      <c r="O221" s="76"/>
      <c r="P221" s="102"/>
      <c r="Q221" s="74"/>
      <c r="R221" s="74"/>
      <c r="S221" s="74"/>
      <c r="T221" s="113"/>
      <c r="U221" s="113"/>
    </row>
    <row r="222" spans="1:23" s="43" customFormat="1" ht="17.25" customHeight="1" x14ac:dyDescent="0.25">
      <c r="A222" s="11"/>
      <c r="B222" s="11">
        <v>351</v>
      </c>
      <c r="C222" s="79" t="s">
        <v>459</v>
      </c>
      <c r="D222" s="35">
        <f>SUM(D223)</f>
        <v>0</v>
      </c>
      <c r="E222" s="183">
        <f t="shared" ref="E222:I223" si="109">SUM(E223)</f>
        <v>0</v>
      </c>
      <c r="F222" s="183">
        <f t="shared" si="109"/>
        <v>0</v>
      </c>
      <c r="G222" s="35">
        <f t="shared" si="109"/>
        <v>0</v>
      </c>
      <c r="H222" s="35">
        <f t="shared" si="109"/>
        <v>0</v>
      </c>
      <c r="I222" s="35">
        <f t="shared" si="109"/>
        <v>0</v>
      </c>
      <c r="J222" s="8">
        <f t="shared" si="100"/>
        <v>0</v>
      </c>
      <c r="K222" s="98">
        <f t="shared" si="93"/>
        <v>0</v>
      </c>
      <c r="L222" s="103"/>
      <c r="M222" s="77"/>
      <c r="N222" s="76"/>
      <c r="O222" s="76"/>
      <c r="P222" s="102"/>
      <c r="Q222" s="74"/>
      <c r="R222" s="74"/>
      <c r="S222" s="74"/>
      <c r="T222" s="113"/>
      <c r="U222" s="113"/>
    </row>
    <row r="223" spans="1:23" s="43" customFormat="1" ht="17.25" customHeight="1" x14ac:dyDescent="0.25">
      <c r="A223" s="37"/>
      <c r="B223" s="37">
        <v>3512</v>
      </c>
      <c r="C223" s="38" t="s">
        <v>460</v>
      </c>
      <c r="D223" s="40">
        <f>SUM(D224)</f>
        <v>0</v>
      </c>
      <c r="E223" s="187">
        <f t="shared" si="109"/>
        <v>0</v>
      </c>
      <c r="F223" s="187">
        <f t="shared" si="109"/>
        <v>0</v>
      </c>
      <c r="G223" s="40">
        <f t="shared" si="109"/>
        <v>0</v>
      </c>
      <c r="H223" s="40">
        <f t="shared" si="109"/>
        <v>0</v>
      </c>
      <c r="I223" s="40">
        <f t="shared" si="109"/>
        <v>0</v>
      </c>
      <c r="J223" s="8">
        <f t="shared" si="100"/>
        <v>0</v>
      </c>
      <c r="K223" s="98">
        <f t="shared" si="93"/>
        <v>0</v>
      </c>
      <c r="L223" s="103"/>
      <c r="M223" s="77"/>
      <c r="N223" s="76"/>
      <c r="O223" s="76"/>
      <c r="P223" s="102"/>
      <c r="Q223" s="74"/>
      <c r="R223" s="74"/>
      <c r="S223" s="74"/>
      <c r="T223" s="113"/>
      <c r="U223" s="113"/>
    </row>
    <row r="224" spans="1:23" s="43" customFormat="1" ht="18.75" customHeight="1" x14ac:dyDescent="0.25">
      <c r="A224" s="15"/>
      <c r="B224" s="15">
        <v>35121</v>
      </c>
      <c r="C224" s="16" t="s">
        <v>460</v>
      </c>
      <c r="D224" s="45"/>
      <c r="E224" s="185"/>
      <c r="F224" s="185"/>
      <c r="G224" s="42"/>
      <c r="H224" s="42"/>
      <c r="I224" s="42"/>
      <c r="J224" s="8">
        <f t="shared" si="100"/>
        <v>0</v>
      </c>
      <c r="K224" s="98">
        <f t="shared" si="93"/>
        <v>0</v>
      </c>
      <c r="L224" s="103"/>
      <c r="M224" s="77"/>
      <c r="N224" s="76"/>
      <c r="O224" s="76"/>
      <c r="P224" s="102"/>
      <c r="Q224" s="74"/>
      <c r="R224" s="74"/>
      <c r="S224" s="74"/>
      <c r="T224" s="113"/>
      <c r="U224" s="113"/>
    </row>
    <row r="225" spans="1:23" s="43" customFormat="1" ht="31.5" customHeight="1" x14ac:dyDescent="0.25">
      <c r="A225" s="11"/>
      <c r="B225" s="11">
        <v>352</v>
      </c>
      <c r="C225" s="12" t="s">
        <v>291</v>
      </c>
      <c r="D225" s="13">
        <f t="shared" ref="D225:I225" si="110">SUM(D226)</f>
        <v>0</v>
      </c>
      <c r="E225" s="186">
        <f t="shared" si="110"/>
        <v>0</v>
      </c>
      <c r="F225" s="186">
        <f t="shared" si="110"/>
        <v>0</v>
      </c>
      <c r="G225" s="13">
        <f t="shared" si="110"/>
        <v>14000</v>
      </c>
      <c r="H225" s="13">
        <f t="shared" si="110"/>
        <v>0</v>
      </c>
      <c r="I225" s="13">
        <f t="shared" si="110"/>
        <v>0</v>
      </c>
      <c r="J225" s="8">
        <f t="shared" si="100"/>
        <v>0</v>
      </c>
      <c r="K225" s="98">
        <f t="shared" si="93"/>
        <v>0</v>
      </c>
      <c r="L225" s="103"/>
      <c r="M225" s="77"/>
      <c r="N225" s="76"/>
      <c r="O225" s="76"/>
      <c r="P225" s="102"/>
      <c r="Q225" s="74"/>
      <c r="R225" s="74"/>
      <c r="S225" s="74"/>
      <c r="T225" s="113"/>
      <c r="U225" s="113"/>
    </row>
    <row r="226" spans="1:23" s="43" customFormat="1" ht="31.5" customHeight="1" x14ac:dyDescent="0.25">
      <c r="A226" s="37"/>
      <c r="B226" s="37">
        <v>3523</v>
      </c>
      <c r="C226" s="38" t="s">
        <v>292</v>
      </c>
      <c r="D226" s="39">
        <f t="shared" ref="D226:I226" si="111">SUM(D227:D228)</f>
        <v>0</v>
      </c>
      <c r="E226" s="184">
        <f>SUM(E227:E228)</f>
        <v>0</v>
      </c>
      <c r="F226" s="184">
        <f t="shared" ref="F226" si="112">SUM(F227:F228)</f>
        <v>0</v>
      </c>
      <c r="G226" s="39">
        <f t="shared" si="111"/>
        <v>14000</v>
      </c>
      <c r="H226" s="39">
        <f>SUM(H227:H228)</f>
        <v>0</v>
      </c>
      <c r="I226" s="39">
        <f t="shared" si="111"/>
        <v>0</v>
      </c>
      <c r="J226" s="8">
        <f t="shared" si="100"/>
        <v>0</v>
      </c>
      <c r="K226" s="98">
        <f t="shared" si="93"/>
        <v>0</v>
      </c>
    </row>
    <row r="227" spans="1:23" s="43" customFormat="1" ht="31.5" customHeight="1" x14ac:dyDescent="0.25">
      <c r="A227" s="15">
        <v>169</v>
      </c>
      <c r="B227" s="15">
        <v>35231</v>
      </c>
      <c r="C227" s="16" t="s">
        <v>293</v>
      </c>
      <c r="D227" s="45"/>
      <c r="E227" s="185"/>
      <c r="F227" s="185"/>
      <c r="G227" s="42">
        <v>1000</v>
      </c>
      <c r="H227" s="42"/>
      <c r="I227" s="42"/>
      <c r="J227" s="8">
        <f t="shared" si="100"/>
        <v>0</v>
      </c>
      <c r="K227" s="98">
        <f t="shared" si="93"/>
        <v>0</v>
      </c>
      <c r="L227" s="103">
        <v>21</v>
      </c>
      <c r="M227" s="77">
        <v>21</v>
      </c>
      <c r="N227" s="76">
        <v>21</v>
      </c>
      <c r="O227" s="76">
        <v>21</v>
      </c>
      <c r="P227" s="102">
        <v>21</v>
      </c>
      <c r="Q227" s="74" t="s">
        <v>609</v>
      </c>
      <c r="R227" s="74" t="s">
        <v>609</v>
      </c>
      <c r="S227" s="74" t="s">
        <v>609</v>
      </c>
      <c r="T227" s="113" t="s">
        <v>609</v>
      </c>
      <c r="U227" s="113" t="s">
        <v>609</v>
      </c>
    </row>
    <row r="228" spans="1:23" s="43" customFormat="1" ht="31.5" customHeight="1" x14ac:dyDescent="0.25">
      <c r="A228" s="15">
        <v>170</v>
      </c>
      <c r="B228" s="15">
        <v>35232</v>
      </c>
      <c r="C228" s="16" t="s">
        <v>294</v>
      </c>
      <c r="D228" s="45"/>
      <c r="E228" s="185"/>
      <c r="F228" s="185"/>
      <c r="G228" s="42">
        <v>13000</v>
      </c>
      <c r="H228" s="42"/>
      <c r="I228" s="42"/>
      <c r="J228" s="8">
        <f t="shared" si="100"/>
        <v>0</v>
      </c>
      <c r="K228" s="98">
        <f t="shared" si="93"/>
        <v>0</v>
      </c>
      <c r="L228" s="103">
        <v>21</v>
      </c>
      <c r="M228" s="77">
        <v>21</v>
      </c>
      <c r="N228" s="76">
        <v>21</v>
      </c>
      <c r="O228" s="76">
        <v>21</v>
      </c>
      <c r="P228" s="102">
        <v>21</v>
      </c>
      <c r="Q228" s="74" t="s">
        <v>709</v>
      </c>
      <c r="R228" s="74" t="s">
        <v>709</v>
      </c>
      <c r="S228" s="74" t="s">
        <v>709</v>
      </c>
      <c r="T228" s="113" t="s">
        <v>709</v>
      </c>
      <c r="U228" s="113" t="s">
        <v>709</v>
      </c>
    </row>
    <row r="229" spans="1:23" s="43" customFormat="1" ht="31.5" customHeight="1" x14ac:dyDescent="0.25">
      <c r="A229" s="15"/>
      <c r="B229" s="15">
        <v>36</v>
      </c>
      <c r="C229" s="16" t="s">
        <v>972</v>
      </c>
      <c r="D229" s="42">
        <f>SUM(D231+D236)</f>
        <v>0</v>
      </c>
      <c r="E229" s="185">
        <f>SUM(E231+E236)</f>
        <v>118964.57999999999</v>
      </c>
      <c r="F229" s="185"/>
      <c r="G229" s="42">
        <f>SUM(G231+G236)</f>
        <v>214500</v>
      </c>
      <c r="H229" s="42">
        <v>4500</v>
      </c>
      <c r="I229" s="42"/>
      <c r="J229" s="8"/>
      <c r="K229" s="98"/>
      <c r="L229" s="103"/>
      <c r="M229" s="77"/>
      <c r="N229" s="76"/>
      <c r="O229" s="76"/>
      <c r="P229" s="102"/>
      <c r="Q229" s="74"/>
      <c r="R229" s="74"/>
      <c r="S229" s="74"/>
      <c r="T229" s="113"/>
      <c r="U229" s="113"/>
    </row>
    <row r="230" spans="1:23" s="43" customFormat="1" ht="31.5" customHeight="1" x14ac:dyDescent="0.25">
      <c r="A230" s="6"/>
      <c r="B230" s="6">
        <v>36</v>
      </c>
      <c r="C230" s="10" t="s">
        <v>382</v>
      </c>
      <c r="D230" s="8">
        <f t="shared" ref="D230:I230" si="113">SUM(D231)</f>
        <v>0</v>
      </c>
      <c r="E230" s="182">
        <f t="shared" si="113"/>
        <v>2558.1799999999998</v>
      </c>
      <c r="F230" s="182">
        <f t="shared" si="113"/>
        <v>30404.6</v>
      </c>
      <c r="G230" s="8">
        <f t="shared" si="113"/>
        <v>4500</v>
      </c>
      <c r="H230" s="8">
        <f t="shared" si="113"/>
        <v>32000</v>
      </c>
      <c r="I230" s="8">
        <f t="shared" si="113"/>
        <v>30404.6</v>
      </c>
      <c r="J230" s="8">
        <f>IFERROR(SUM(H230/E230),0)*100</f>
        <v>1250.8893041146441</v>
      </c>
      <c r="K230" s="98">
        <f t="shared" si="93"/>
        <v>711.11111111111109</v>
      </c>
      <c r="L230" s="103"/>
      <c r="M230" s="77"/>
      <c r="N230" s="76"/>
      <c r="O230" s="76"/>
      <c r="P230" s="102"/>
      <c r="Q230" s="74"/>
      <c r="R230" s="74"/>
      <c r="S230" s="74"/>
      <c r="T230" s="113"/>
      <c r="U230" s="113"/>
    </row>
    <row r="231" spans="1:23" s="43" customFormat="1" ht="31.5" customHeight="1" x14ac:dyDescent="0.25">
      <c r="A231" s="11"/>
      <c r="B231" s="11">
        <v>366</v>
      </c>
      <c r="C231" s="12" t="s">
        <v>401</v>
      </c>
      <c r="D231" s="13">
        <f t="shared" ref="D231:I231" si="114">SUM(D232:D235)</f>
        <v>0</v>
      </c>
      <c r="E231" s="186">
        <f>SUM(E232:E235)</f>
        <v>2558.1799999999998</v>
      </c>
      <c r="F231" s="186">
        <f t="shared" ref="F231" si="115">SUM(F232:F235)</f>
        <v>30404.6</v>
      </c>
      <c r="G231" s="13">
        <f t="shared" si="114"/>
        <v>4500</v>
      </c>
      <c r="H231" s="13">
        <f>SUM(H232:H235)</f>
        <v>32000</v>
      </c>
      <c r="I231" s="13">
        <f t="shared" si="114"/>
        <v>30404.6</v>
      </c>
      <c r="J231" s="8">
        <f>IFERROR(SUM(H231/E231),0)*100</f>
        <v>1250.8893041146441</v>
      </c>
      <c r="K231" s="98">
        <f t="shared" si="93"/>
        <v>711.11111111111109</v>
      </c>
    </row>
    <row r="232" spans="1:23" s="43" customFormat="1" ht="31.5" customHeight="1" x14ac:dyDescent="0.25">
      <c r="A232" s="15"/>
      <c r="B232" s="15">
        <v>36319</v>
      </c>
      <c r="C232" s="51" t="s">
        <v>402</v>
      </c>
      <c r="D232" s="167"/>
      <c r="E232" s="185">
        <v>2558.1799999999998</v>
      </c>
      <c r="F232" s="185">
        <v>4614.18</v>
      </c>
      <c r="G232" s="42">
        <v>500</v>
      </c>
      <c r="H232" s="42">
        <v>5000</v>
      </c>
      <c r="I232" s="42">
        <v>4614.18</v>
      </c>
      <c r="J232" s="8">
        <f>IFERROR(SUM(H232/E232),0)*100</f>
        <v>195.45145376791314</v>
      </c>
      <c r="K232" s="98">
        <f t="shared" si="93"/>
        <v>1000</v>
      </c>
      <c r="L232" s="103">
        <v>21</v>
      </c>
      <c r="M232" s="77">
        <v>21</v>
      </c>
      <c r="N232" s="76">
        <v>21</v>
      </c>
      <c r="O232" s="76">
        <v>21</v>
      </c>
      <c r="P232" s="102">
        <v>21</v>
      </c>
      <c r="Q232" s="74" t="s">
        <v>683</v>
      </c>
      <c r="R232" s="74" t="s">
        <v>683</v>
      </c>
      <c r="S232" s="74" t="s">
        <v>683</v>
      </c>
      <c r="T232" s="113" t="s">
        <v>683</v>
      </c>
      <c r="U232" s="113" t="s">
        <v>683</v>
      </c>
      <c r="V232" s="36"/>
      <c r="W232" s="36"/>
    </row>
    <row r="233" spans="1:23" s="36" customFormat="1" ht="17.25" customHeight="1" x14ac:dyDescent="0.25">
      <c r="A233" s="15"/>
      <c r="B233" s="15">
        <v>36325</v>
      </c>
      <c r="C233" s="51" t="s">
        <v>445</v>
      </c>
      <c r="D233" s="167"/>
      <c r="E233" s="185"/>
      <c r="F233" s="185"/>
      <c r="G233" s="42"/>
      <c r="H233" s="42">
        <v>500</v>
      </c>
      <c r="I233" s="42"/>
      <c r="J233" s="8">
        <f>IFERROR(SUM(H233/E233),0)*100</f>
        <v>0</v>
      </c>
      <c r="K233" s="98">
        <f t="shared" si="93"/>
        <v>0</v>
      </c>
      <c r="L233" s="103">
        <v>21</v>
      </c>
      <c r="M233" s="77">
        <v>21</v>
      </c>
      <c r="N233" s="76">
        <v>21</v>
      </c>
      <c r="O233" s="76">
        <v>21</v>
      </c>
      <c r="P233" s="102">
        <v>21</v>
      </c>
      <c r="Q233" s="74" t="s">
        <v>683</v>
      </c>
      <c r="R233" s="74" t="s">
        <v>683</v>
      </c>
      <c r="S233" s="74" t="s">
        <v>683</v>
      </c>
      <c r="T233" s="111" t="s">
        <v>683</v>
      </c>
      <c r="U233" s="111" t="s">
        <v>683</v>
      </c>
      <c r="V233" s="41"/>
      <c r="W233" s="41"/>
    </row>
    <row r="234" spans="1:23" s="41" customFormat="1" ht="31.5" x14ac:dyDescent="0.25">
      <c r="A234" s="15"/>
      <c r="B234" s="15">
        <v>36329</v>
      </c>
      <c r="C234" s="51" t="s">
        <v>908</v>
      </c>
      <c r="D234" s="167"/>
      <c r="E234" s="185"/>
      <c r="F234" s="185"/>
      <c r="G234" s="42">
        <v>4000</v>
      </c>
      <c r="H234" s="42">
        <v>500</v>
      </c>
      <c r="I234" s="42"/>
      <c r="J234" s="8">
        <f>IFERROR(SUM(H234/E234),0)*100</f>
        <v>0</v>
      </c>
      <c r="K234" s="98">
        <f t="shared" si="93"/>
        <v>12.5</v>
      </c>
      <c r="L234" s="103">
        <v>21</v>
      </c>
      <c r="M234" s="77">
        <v>21</v>
      </c>
      <c r="N234" s="76">
        <v>21</v>
      </c>
      <c r="O234" s="76">
        <v>21</v>
      </c>
      <c r="P234" s="102">
        <v>21</v>
      </c>
      <c r="Q234" s="74" t="s">
        <v>683</v>
      </c>
      <c r="R234" s="74" t="s">
        <v>683</v>
      </c>
      <c r="S234" s="74" t="s">
        <v>683</v>
      </c>
      <c r="T234" s="112" t="s">
        <v>683</v>
      </c>
      <c r="U234" s="112" t="s">
        <v>683</v>
      </c>
    </row>
    <row r="235" spans="1:23" s="41" customFormat="1" ht="31.5" x14ac:dyDescent="0.25">
      <c r="A235" s="15"/>
      <c r="B235" s="15">
        <v>36329</v>
      </c>
      <c r="C235" s="51" t="s">
        <v>786</v>
      </c>
      <c r="D235" s="167"/>
      <c r="E235" s="185"/>
      <c r="F235" s="185">
        <v>25790.42</v>
      </c>
      <c r="G235" s="42"/>
      <c r="H235" s="42">
        <v>26000</v>
      </c>
      <c r="I235" s="42">
        <v>25790.42</v>
      </c>
      <c r="J235" s="8"/>
      <c r="K235" s="98"/>
      <c r="L235" s="103">
        <v>41</v>
      </c>
      <c r="M235" s="77">
        <v>41</v>
      </c>
      <c r="N235" s="76">
        <v>41</v>
      </c>
      <c r="O235" s="76">
        <v>41</v>
      </c>
      <c r="P235" s="102">
        <v>41</v>
      </c>
      <c r="Q235" s="74" t="s">
        <v>627</v>
      </c>
      <c r="R235" s="74" t="s">
        <v>627</v>
      </c>
      <c r="S235" s="74" t="s">
        <v>627</v>
      </c>
      <c r="T235" s="112" t="s">
        <v>627</v>
      </c>
      <c r="U235" s="112" t="s">
        <v>627</v>
      </c>
      <c r="V235" s="43"/>
      <c r="W235" s="43"/>
    </row>
    <row r="236" spans="1:23" s="43" customFormat="1" ht="31.5" x14ac:dyDescent="0.25">
      <c r="A236" s="54"/>
      <c r="B236" s="54">
        <v>367</v>
      </c>
      <c r="C236" s="55" t="s">
        <v>440</v>
      </c>
      <c r="D236" s="56">
        <f t="shared" ref="D236:I236" si="116">SUM(D237:D240)</f>
        <v>0</v>
      </c>
      <c r="E236" s="190">
        <f t="shared" ref="E236:F236" si="117">SUM(E237:E240)</f>
        <v>116406.39999999999</v>
      </c>
      <c r="F236" s="190">
        <f t="shared" si="117"/>
        <v>242414</v>
      </c>
      <c r="G236" s="56">
        <f t="shared" si="116"/>
        <v>210000</v>
      </c>
      <c r="H236" s="56">
        <f t="shared" si="116"/>
        <v>238000</v>
      </c>
      <c r="I236" s="56">
        <f t="shared" si="116"/>
        <v>242414</v>
      </c>
      <c r="J236" s="8">
        <f>IFERROR(SUM(H236/E236),0)*100</f>
        <v>204.45611237870085</v>
      </c>
      <c r="K236" s="98">
        <f t="shared" si="93"/>
        <v>113.33333333333333</v>
      </c>
      <c r="L236" s="103"/>
      <c r="M236" s="77"/>
      <c r="N236" s="76"/>
      <c r="O236" s="76"/>
      <c r="P236" s="102"/>
      <c r="Q236" s="74"/>
      <c r="R236" s="74"/>
      <c r="S236" s="74"/>
      <c r="T236" s="113"/>
      <c r="U236" s="113"/>
    </row>
    <row r="237" spans="1:23" s="43" customFormat="1" ht="31.5" x14ac:dyDescent="0.25">
      <c r="A237" s="15"/>
      <c r="B237" s="15">
        <v>36711</v>
      </c>
      <c r="C237" s="51" t="s">
        <v>441</v>
      </c>
      <c r="D237" s="167"/>
      <c r="E237" s="185">
        <v>98906.4</v>
      </c>
      <c r="F237" s="185">
        <v>208414</v>
      </c>
      <c r="G237" s="42">
        <v>180000</v>
      </c>
      <c r="H237" s="42">
        <v>205000</v>
      </c>
      <c r="I237" s="42">
        <v>208414</v>
      </c>
      <c r="J237" s="8">
        <f>IFERROR(SUM(H237/E237),0)*100</f>
        <v>207.26666828435776</v>
      </c>
      <c r="K237" s="98">
        <f t="shared" si="93"/>
        <v>113.88888888888889</v>
      </c>
      <c r="L237" s="43">
        <v>11</v>
      </c>
      <c r="M237" s="43">
        <v>11</v>
      </c>
      <c r="N237" s="43">
        <v>11</v>
      </c>
      <c r="O237" s="43">
        <v>11</v>
      </c>
      <c r="P237" s="43">
        <v>11</v>
      </c>
      <c r="Q237" s="74" t="s">
        <v>683</v>
      </c>
      <c r="R237" s="74" t="s">
        <v>683</v>
      </c>
      <c r="S237" s="74" t="s">
        <v>683</v>
      </c>
      <c r="T237" s="74" t="s">
        <v>683</v>
      </c>
      <c r="U237" s="74" t="s">
        <v>683</v>
      </c>
    </row>
    <row r="238" spans="1:23" s="43" customFormat="1" ht="31.5" x14ac:dyDescent="0.25">
      <c r="A238" s="15"/>
      <c r="B238" s="15">
        <v>36712</v>
      </c>
      <c r="C238" s="268" t="s">
        <v>967</v>
      </c>
      <c r="D238" s="269"/>
      <c r="E238" s="185">
        <v>17500</v>
      </c>
      <c r="F238" s="185">
        <v>34000</v>
      </c>
      <c r="G238" s="42">
        <v>30000</v>
      </c>
      <c r="H238" s="42">
        <v>33000</v>
      </c>
      <c r="I238" s="42">
        <v>34000</v>
      </c>
      <c r="J238" s="17"/>
      <c r="K238" s="131">
        <f t="shared" si="93"/>
        <v>110.00000000000001</v>
      </c>
      <c r="L238" s="43">
        <v>11</v>
      </c>
      <c r="M238" s="43">
        <v>11</v>
      </c>
      <c r="N238" s="43">
        <v>11</v>
      </c>
      <c r="O238" s="43">
        <v>11</v>
      </c>
      <c r="P238" s="43">
        <v>11</v>
      </c>
      <c r="Q238" s="118" t="s">
        <v>671</v>
      </c>
      <c r="R238" s="118" t="s">
        <v>671</v>
      </c>
      <c r="S238" s="118" t="s">
        <v>671</v>
      </c>
      <c r="T238" s="118" t="s">
        <v>671</v>
      </c>
      <c r="U238" s="118" t="s">
        <v>671</v>
      </c>
    </row>
    <row r="239" spans="1:23" s="43" customFormat="1" ht="31.5" x14ac:dyDescent="0.25">
      <c r="A239" s="15"/>
      <c r="B239" s="15">
        <v>367212</v>
      </c>
      <c r="C239" s="51" t="s">
        <v>442</v>
      </c>
      <c r="D239" s="167"/>
      <c r="E239" s="185"/>
      <c r="F239" s="185"/>
      <c r="G239" s="42"/>
      <c r="H239" s="42"/>
      <c r="I239" s="42"/>
      <c r="J239" s="8">
        <f t="shared" ref="J239:J249" si="118">IFERROR(SUM(H239/E239),0)*100</f>
        <v>0</v>
      </c>
      <c r="K239" s="98">
        <f t="shared" si="93"/>
        <v>0</v>
      </c>
      <c r="L239" s="103">
        <v>21</v>
      </c>
      <c r="M239" s="77">
        <v>21</v>
      </c>
      <c r="N239" s="76">
        <v>21</v>
      </c>
      <c r="O239" s="76">
        <v>21</v>
      </c>
      <c r="P239" s="102">
        <v>21</v>
      </c>
      <c r="Q239" s="74" t="s">
        <v>563</v>
      </c>
      <c r="R239" s="74" t="s">
        <v>563</v>
      </c>
      <c r="S239" s="74" t="s">
        <v>563</v>
      </c>
      <c r="T239" s="113" t="s">
        <v>563</v>
      </c>
      <c r="U239" s="113" t="s">
        <v>563</v>
      </c>
    </row>
    <row r="240" spans="1:23" s="43" customFormat="1" ht="31.5" x14ac:dyDescent="0.25">
      <c r="A240" s="15"/>
      <c r="B240" s="15">
        <v>367213</v>
      </c>
      <c r="C240" s="51" t="s">
        <v>443</v>
      </c>
      <c r="D240" s="167"/>
      <c r="E240" s="185"/>
      <c r="F240" s="185"/>
      <c r="G240" s="42"/>
      <c r="H240" s="42"/>
      <c r="I240" s="42"/>
      <c r="J240" s="8">
        <f t="shared" si="118"/>
        <v>0</v>
      </c>
      <c r="K240" s="98">
        <f t="shared" si="93"/>
        <v>0</v>
      </c>
      <c r="L240" s="103">
        <v>21</v>
      </c>
      <c r="M240" s="77">
        <v>21</v>
      </c>
      <c r="N240" s="76">
        <v>21</v>
      </c>
      <c r="O240" s="76">
        <v>21</v>
      </c>
      <c r="P240" s="102">
        <v>21</v>
      </c>
      <c r="Q240" s="74" t="s">
        <v>563</v>
      </c>
      <c r="R240" s="74" t="s">
        <v>563</v>
      </c>
      <c r="S240" s="74" t="s">
        <v>563</v>
      </c>
      <c r="T240" s="113" t="s">
        <v>563</v>
      </c>
      <c r="U240" s="113" t="s">
        <v>563</v>
      </c>
    </row>
    <row r="241" spans="1:23" s="43" customFormat="1" ht="31.5" x14ac:dyDescent="0.25">
      <c r="A241" s="6"/>
      <c r="B241" s="6">
        <v>37</v>
      </c>
      <c r="C241" s="10" t="s">
        <v>295</v>
      </c>
      <c r="D241" s="32">
        <f t="shared" ref="D241:I241" si="119">SUM(D242+D256)</f>
        <v>0</v>
      </c>
      <c r="E241" s="180">
        <f>SUM(E242+E256)</f>
        <v>128809.33999999998</v>
      </c>
      <c r="F241" s="180">
        <f t="shared" ref="F241" si="120">SUM(F242+F256)</f>
        <v>298924.02999999997</v>
      </c>
      <c r="G241" s="32">
        <f t="shared" si="119"/>
        <v>347000</v>
      </c>
      <c r="H241" s="32">
        <f>SUM(H242+H256)</f>
        <v>353300</v>
      </c>
      <c r="I241" s="32">
        <f t="shared" si="119"/>
        <v>298924.02999999997</v>
      </c>
      <c r="J241" s="8">
        <f t="shared" si="118"/>
        <v>274.2813525789357</v>
      </c>
      <c r="K241" s="98">
        <f t="shared" si="93"/>
        <v>101.81556195965418</v>
      </c>
      <c r="L241" s="103"/>
      <c r="M241" s="77"/>
      <c r="N241" s="76"/>
      <c r="O241" s="76"/>
      <c r="P241" s="102"/>
      <c r="Q241" s="74"/>
      <c r="R241" s="74"/>
      <c r="S241" s="74"/>
      <c r="T241" s="113"/>
      <c r="U241" s="113"/>
    </row>
    <row r="242" spans="1:23" s="43" customFormat="1" ht="31.5" x14ac:dyDescent="0.25">
      <c r="A242" s="11"/>
      <c r="B242" s="11">
        <v>372</v>
      </c>
      <c r="C242" s="12" t="s">
        <v>296</v>
      </c>
      <c r="D242" s="13">
        <f t="shared" ref="D242:I242" si="121">SUM(D243)</f>
        <v>0</v>
      </c>
      <c r="E242" s="186">
        <f t="shared" si="121"/>
        <v>71983.999999999985</v>
      </c>
      <c r="F242" s="186">
        <f t="shared" si="121"/>
        <v>196603.62</v>
      </c>
      <c r="G242" s="13">
        <f t="shared" si="121"/>
        <v>214000</v>
      </c>
      <c r="H242" s="13">
        <f t="shared" si="121"/>
        <v>234500</v>
      </c>
      <c r="I242" s="13">
        <f t="shared" si="121"/>
        <v>196603.62</v>
      </c>
      <c r="J242" s="8">
        <f t="shared" si="118"/>
        <v>325.7668370749056</v>
      </c>
      <c r="K242" s="98">
        <f t="shared" si="93"/>
        <v>109.57943925233644</v>
      </c>
      <c r="L242" s="103"/>
      <c r="M242" s="77"/>
      <c r="N242" s="76"/>
      <c r="O242" s="76"/>
      <c r="P242" s="102"/>
      <c r="Q242" s="74"/>
      <c r="R242" s="74"/>
      <c r="S242" s="74"/>
      <c r="T242" s="111"/>
      <c r="U242" s="111"/>
      <c r="V242" s="36"/>
      <c r="W242" s="36"/>
    </row>
    <row r="243" spans="1:23" s="36" customFormat="1" x14ac:dyDescent="0.25">
      <c r="A243" s="37"/>
      <c r="B243" s="37">
        <v>3721</v>
      </c>
      <c r="C243" s="38" t="s">
        <v>297</v>
      </c>
      <c r="D243" s="39">
        <f>SUM(D245:D255)</f>
        <v>0</v>
      </c>
      <c r="E243" s="184">
        <f>SUM(E244:E255)</f>
        <v>71983.999999999985</v>
      </c>
      <c r="F243" s="184">
        <f>SUM(F244:F255)</f>
        <v>196603.62</v>
      </c>
      <c r="G243" s="39">
        <f>SUM(G245:G255)</f>
        <v>214000</v>
      </c>
      <c r="H243" s="39">
        <f>SUM(H244:H255)</f>
        <v>234500</v>
      </c>
      <c r="I243" s="39">
        <f>SUM(I244:I255)</f>
        <v>196603.62</v>
      </c>
      <c r="J243" s="8">
        <f t="shared" si="118"/>
        <v>325.7668370749056</v>
      </c>
      <c r="K243" s="98">
        <f t="shared" si="93"/>
        <v>109.57943925233644</v>
      </c>
      <c r="V243" s="41"/>
      <c r="W243" s="41"/>
    </row>
    <row r="244" spans="1:23" s="43" customFormat="1" x14ac:dyDescent="0.25">
      <c r="A244" s="262"/>
      <c r="B244" s="15">
        <v>37211</v>
      </c>
      <c r="C244" s="16" t="s">
        <v>994</v>
      </c>
      <c r="D244" s="17"/>
      <c r="E244" s="188">
        <v>66.36</v>
      </c>
      <c r="F244" s="188">
        <v>12316.36</v>
      </c>
      <c r="G244" s="17"/>
      <c r="H244" s="17">
        <v>21000</v>
      </c>
      <c r="I244" s="17">
        <v>12316.36</v>
      </c>
      <c r="J244" s="17"/>
      <c r="K244" s="131"/>
      <c r="L244" s="43">
        <v>11</v>
      </c>
      <c r="M244" s="43">
        <v>11</v>
      </c>
      <c r="N244" s="43">
        <v>11</v>
      </c>
      <c r="O244" s="43">
        <v>11</v>
      </c>
      <c r="P244" s="43">
        <v>11</v>
      </c>
      <c r="Q244" s="118" t="s">
        <v>683</v>
      </c>
      <c r="R244" s="118" t="s">
        <v>683</v>
      </c>
      <c r="S244" s="118" t="s">
        <v>683</v>
      </c>
      <c r="T244" s="118" t="s">
        <v>683</v>
      </c>
      <c r="U244" s="118" t="s">
        <v>683</v>
      </c>
    </row>
    <row r="245" spans="1:23" s="41" customFormat="1" x14ac:dyDescent="0.25">
      <c r="A245" s="15">
        <v>171</v>
      </c>
      <c r="B245" s="15">
        <v>37212</v>
      </c>
      <c r="C245" s="16" t="s">
        <v>852</v>
      </c>
      <c r="D245" s="168"/>
      <c r="E245" s="185">
        <v>4243</v>
      </c>
      <c r="F245" s="185">
        <v>9273</v>
      </c>
      <c r="G245" s="42">
        <v>7000</v>
      </c>
      <c r="H245" s="42">
        <v>10000</v>
      </c>
      <c r="I245" s="42">
        <v>9273</v>
      </c>
      <c r="J245" s="8">
        <f t="shared" si="118"/>
        <v>235.68230025925052</v>
      </c>
      <c r="K245" s="98">
        <f t="shared" si="93"/>
        <v>142.85714285714286</v>
      </c>
      <c r="L245" s="103">
        <v>21</v>
      </c>
      <c r="M245" s="77">
        <v>21</v>
      </c>
      <c r="N245" s="76">
        <v>21</v>
      </c>
      <c r="O245" s="76">
        <v>21</v>
      </c>
      <c r="P245" s="102">
        <v>21</v>
      </c>
      <c r="Q245" s="74">
        <v>105</v>
      </c>
      <c r="R245" s="74" t="s">
        <v>709</v>
      </c>
      <c r="S245" s="74">
        <v>105</v>
      </c>
      <c r="T245" s="112" t="s">
        <v>709</v>
      </c>
      <c r="U245" s="112" t="s">
        <v>709</v>
      </c>
      <c r="V245" s="43"/>
      <c r="W245" s="43"/>
    </row>
    <row r="246" spans="1:23" s="43" customFormat="1" x14ac:dyDescent="0.25">
      <c r="A246" s="15"/>
      <c r="B246" s="15">
        <v>37213</v>
      </c>
      <c r="C246" s="16" t="s">
        <v>853</v>
      </c>
      <c r="D246" s="168"/>
      <c r="E246" s="185">
        <v>8168.9</v>
      </c>
      <c r="F246" s="185">
        <v>16399.509999999998</v>
      </c>
      <c r="G246" s="42">
        <v>10000</v>
      </c>
      <c r="H246" s="42">
        <v>17000</v>
      </c>
      <c r="I246" s="42">
        <v>16399.509999999998</v>
      </c>
      <c r="J246" s="8">
        <f t="shared" si="118"/>
        <v>208.10635458874512</v>
      </c>
      <c r="K246" s="98">
        <f t="shared" si="93"/>
        <v>170</v>
      </c>
      <c r="L246" s="103">
        <v>21</v>
      </c>
      <c r="M246" s="77">
        <v>21</v>
      </c>
      <c r="N246" s="76">
        <v>21</v>
      </c>
      <c r="O246" s="76">
        <v>21</v>
      </c>
      <c r="P246" s="102">
        <v>21</v>
      </c>
      <c r="Q246" s="74" t="s">
        <v>709</v>
      </c>
      <c r="R246" s="74" t="s">
        <v>709</v>
      </c>
      <c r="S246" s="74" t="s">
        <v>709</v>
      </c>
      <c r="T246" s="113" t="s">
        <v>709</v>
      </c>
      <c r="U246" s="113" t="s">
        <v>709</v>
      </c>
    </row>
    <row r="247" spans="1:23" s="43" customFormat="1" x14ac:dyDescent="0.25">
      <c r="A247" s="15">
        <v>172</v>
      </c>
      <c r="B247" s="15">
        <v>372151</v>
      </c>
      <c r="C247" s="16" t="s">
        <v>988</v>
      </c>
      <c r="D247" s="45"/>
      <c r="E247" s="185">
        <v>46860</v>
      </c>
      <c r="F247" s="185">
        <v>78980</v>
      </c>
      <c r="G247" s="42">
        <v>93000</v>
      </c>
      <c r="H247" s="42">
        <v>93000</v>
      </c>
      <c r="I247" s="42">
        <v>78980</v>
      </c>
      <c r="J247" s="8">
        <f t="shared" si="118"/>
        <v>198.46350832266327</v>
      </c>
      <c r="K247" s="98">
        <f t="shared" si="93"/>
        <v>100</v>
      </c>
      <c r="L247" s="103">
        <v>21</v>
      </c>
      <c r="M247" s="77">
        <v>21</v>
      </c>
      <c r="N247" s="76">
        <v>21</v>
      </c>
      <c r="O247" s="76">
        <v>21</v>
      </c>
      <c r="P247" s="102">
        <v>21</v>
      </c>
      <c r="Q247" s="74" t="s">
        <v>689</v>
      </c>
      <c r="R247" s="74" t="s">
        <v>689</v>
      </c>
      <c r="S247" s="74" t="s">
        <v>689</v>
      </c>
      <c r="T247" s="113" t="s">
        <v>689</v>
      </c>
      <c r="U247" s="113" t="s">
        <v>689</v>
      </c>
    </row>
    <row r="248" spans="1:23" s="43" customFormat="1" x14ac:dyDescent="0.25">
      <c r="A248" s="262"/>
      <c r="B248" s="15">
        <v>372152</v>
      </c>
      <c r="C248" s="16" t="s">
        <v>987</v>
      </c>
      <c r="D248" s="45"/>
      <c r="E248" s="185">
        <v>2592</v>
      </c>
      <c r="F248" s="185">
        <v>4968</v>
      </c>
      <c r="G248" s="42"/>
      <c r="H248" s="42">
        <v>7000</v>
      </c>
      <c r="I248" s="42">
        <v>4968</v>
      </c>
      <c r="J248" s="17"/>
      <c r="K248" s="131"/>
      <c r="L248" s="43">
        <v>11</v>
      </c>
      <c r="M248" s="43">
        <v>11</v>
      </c>
      <c r="N248" s="43">
        <v>11</v>
      </c>
      <c r="O248" s="43">
        <v>11</v>
      </c>
      <c r="P248" s="43">
        <v>11</v>
      </c>
      <c r="Q248" s="118" t="s">
        <v>685</v>
      </c>
      <c r="R248" s="118" t="s">
        <v>685</v>
      </c>
      <c r="S248" s="118" t="s">
        <v>685</v>
      </c>
      <c r="T248" s="118" t="s">
        <v>685</v>
      </c>
      <c r="U248" s="118" t="s">
        <v>685</v>
      </c>
    </row>
    <row r="249" spans="1:23" s="43" customFormat="1" x14ac:dyDescent="0.25">
      <c r="A249" s="15">
        <v>173</v>
      </c>
      <c r="B249" s="15">
        <v>37217</v>
      </c>
      <c r="C249" s="16" t="s">
        <v>298</v>
      </c>
      <c r="D249" s="45"/>
      <c r="E249" s="185">
        <v>8100</v>
      </c>
      <c r="F249" s="185">
        <v>20700</v>
      </c>
      <c r="G249" s="42">
        <v>20000</v>
      </c>
      <c r="H249" s="42">
        <v>22000</v>
      </c>
      <c r="I249" s="42">
        <v>20700</v>
      </c>
      <c r="J249" s="8">
        <f t="shared" si="118"/>
        <v>271.60493827160496</v>
      </c>
      <c r="K249" s="98">
        <f t="shared" si="93"/>
        <v>110.00000000000001</v>
      </c>
      <c r="L249" s="103">
        <v>21</v>
      </c>
      <c r="M249" s="77">
        <v>21</v>
      </c>
      <c r="N249" s="76">
        <v>21</v>
      </c>
      <c r="O249" s="76">
        <v>21</v>
      </c>
      <c r="P249" s="102">
        <v>21</v>
      </c>
      <c r="Q249" s="74">
        <v>104</v>
      </c>
      <c r="R249" s="74" t="s">
        <v>707</v>
      </c>
      <c r="S249" s="74">
        <v>104</v>
      </c>
      <c r="T249" s="113" t="s">
        <v>707</v>
      </c>
      <c r="U249" s="113" t="s">
        <v>707</v>
      </c>
    </row>
    <row r="250" spans="1:23" s="43" customFormat="1" x14ac:dyDescent="0.25">
      <c r="A250" s="262"/>
      <c r="B250" s="15">
        <v>372195</v>
      </c>
      <c r="C250" s="16" t="s">
        <v>989</v>
      </c>
      <c r="D250" s="45"/>
      <c r="E250" s="185">
        <v>354.65</v>
      </c>
      <c r="F250" s="185">
        <v>698.93</v>
      </c>
      <c r="G250" s="42"/>
      <c r="H250" s="42">
        <v>1000</v>
      </c>
      <c r="I250" s="42">
        <v>698.93</v>
      </c>
      <c r="J250" s="17"/>
      <c r="K250" s="131"/>
      <c r="L250" s="114">
        <v>21</v>
      </c>
      <c r="M250" s="115">
        <v>21</v>
      </c>
      <c r="N250" s="116">
        <v>21</v>
      </c>
      <c r="O250" s="116">
        <v>21</v>
      </c>
      <c r="P250" s="117">
        <v>21</v>
      </c>
      <c r="Q250" s="118" t="s">
        <v>711</v>
      </c>
      <c r="R250" s="118" t="s">
        <v>711</v>
      </c>
      <c r="S250" s="118" t="s">
        <v>711</v>
      </c>
      <c r="T250" s="113" t="s">
        <v>711</v>
      </c>
      <c r="U250" s="113" t="s">
        <v>711</v>
      </c>
    </row>
    <row r="251" spans="1:23" s="43" customFormat="1" x14ac:dyDescent="0.25">
      <c r="A251" s="15"/>
      <c r="B251" s="15"/>
      <c r="C251" s="16" t="s">
        <v>909</v>
      </c>
      <c r="D251" s="45"/>
      <c r="E251" s="185"/>
      <c r="F251" s="185">
        <v>35800</v>
      </c>
      <c r="G251" s="42">
        <v>40000</v>
      </c>
      <c r="H251" s="42">
        <v>36000</v>
      </c>
      <c r="I251" s="42">
        <v>35800</v>
      </c>
      <c r="J251" s="8"/>
      <c r="K251" s="98"/>
      <c r="L251" s="103">
        <v>11</v>
      </c>
      <c r="M251" s="77">
        <v>11</v>
      </c>
      <c r="N251" s="76">
        <v>11</v>
      </c>
      <c r="O251" s="76">
        <v>11</v>
      </c>
      <c r="P251" s="102">
        <v>11</v>
      </c>
      <c r="Q251" s="74" t="s">
        <v>683</v>
      </c>
      <c r="R251" s="74" t="s">
        <v>683</v>
      </c>
      <c r="S251" s="74" t="s">
        <v>683</v>
      </c>
      <c r="T251" s="113" t="s">
        <v>683</v>
      </c>
      <c r="U251" s="113" t="s">
        <v>683</v>
      </c>
    </row>
    <row r="252" spans="1:23" s="43" customFormat="1" x14ac:dyDescent="0.25">
      <c r="A252" s="15">
        <v>175</v>
      </c>
      <c r="B252" s="15">
        <v>372191</v>
      </c>
      <c r="C252" s="16" t="s">
        <v>299</v>
      </c>
      <c r="D252" s="45"/>
      <c r="E252" s="185">
        <v>1599.09</v>
      </c>
      <c r="F252" s="185">
        <v>2760.91</v>
      </c>
      <c r="G252" s="42">
        <v>26500</v>
      </c>
      <c r="H252" s="42">
        <v>5500</v>
      </c>
      <c r="I252" s="42">
        <v>2760.91</v>
      </c>
      <c r="J252" s="8">
        <f>IFERROR(SUM(H252/E252),0)*100</f>
        <v>343.94561907084659</v>
      </c>
      <c r="K252" s="98">
        <f t="shared" si="93"/>
        <v>20.754716981132077</v>
      </c>
      <c r="L252" s="103">
        <v>21</v>
      </c>
      <c r="M252" s="77">
        <v>21</v>
      </c>
      <c r="N252" s="76">
        <v>21</v>
      </c>
      <c r="O252" s="76">
        <v>21</v>
      </c>
      <c r="P252" s="102">
        <v>21</v>
      </c>
      <c r="Q252" s="74">
        <v>105</v>
      </c>
      <c r="R252" s="74" t="s">
        <v>709</v>
      </c>
      <c r="S252" s="74">
        <v>105</v>
      </c>
      <c r="T252" s="113" t="s">
        <v>709</v>
      </c>
      <c r="U252" s="113" t="s">
        <v>709</v>
      </c>
    </row>
    <row r="253" spans="1:23" s="43" customFormat="1" x14ac:dyDescent="0.25">
      <c r="A253" s="15">
        <v>176</v>
      </c>
      <c r="B253" s="15">
        <v>372192</v>
      </c>
      <c r="C253" s="16" t="s">
        <v>300</v>
      </c>
      <c r="D253" s="45"/>
      <c r="E253" s="185"/>
      <c r="F253" s="185"/>
      <c r="G253" s="42">
        <v>1500</v>
      </c>
      <c r="H253" s="42"/>
      <c r="I253" s="42"/>
      <c r="J253" s="8">
        <f>IFERROR(SUM(H253/E253),0)*100</f>
        <v>0</v>
      </c>
      <c r="K253" s="98">
        <f t="shared" si="93"/>
        <v>0</v>
      </c>
      <c r="L253" s="103">
        <v>21</v>
      </c>
      <c r="M253" s="77">
        <v>21</v>
      </c>
      <c r="N253" s="76">
        <v>21</v>
      </c>
      <c r="O253" s="76">
        <v>21</v>
      </c>
      <c r="P253" s="102">
        <v>21</v>
      </c>
      <c r="Q253" s="74" t="s">
        <v>563</v>
      </c>
      <c r="R253" s="74" t="s">
        <v>563</v>
      </c>
      <c r="S253" s="74" t="s">
        <v>563</v>
      </c>
      <c r="T253" s="113" t="s">
        <v>563</v>
      </c>
      <c r="U253" s="113" t="s">
        <v>563</v>
      </c>
    </row>
    <row r="254" spans="1:23" s="43" customFormat="1" x14ac:dyDescent="0.25">
      <c r="A254" s="15"/>
      <c r="B254" s="15">
        <v>372193</v>
      </c>
      <c r="C254" s="16" t="s">
        <v>805</v>
      </c>
      <c r="D254" s="45"/>
      <c r="E254" s="185"/>
      <c r="F254" s="185">
        <v>14706.91</v>
      </c>
      <c r="G254" s="42">
        <v>16000</v>
      </c>
      <c r="H254" s="42">
        <v>22000</v>
      </c>
      <c r="I254" s="42">
        <v>14706.91</v>
      </c>
      <c r="J254" s="8"/>
      <c r="K254" s="98"/>
      <c r="L254" s="103">
        <v>21</v>
      </c>
      <c r="M254" s="77">
        <v>21</v>
      </c>
      <c r="N254" s="76">
        <v>21</v>
      </c>
      <c r="O254" s="76">
        <v>21</v>
      </c>
      <c r="P254" s="102">
        <v>21</v>
      </c>
      <c r="Q254" s="74" t="s">
        <v>703</v>
      </c>
      <c r="R254" s="74" t="s">
        <v>703</v>
      </c>
      <c r="S254" s="74" t="s">
        <v>703</v>
      </c>
      <c r="T254" s="113" t="s">
        <v>703</v>
      </c>
      <c r="U254" s="113" t="s">
        <v>703</v>
      </c>
    </row>
    <row r="255" spans="1:23" s="43" customFormat="1" x14ac:dyDescent="0.25">
      <c r="A255" s="20">
        <v>177</v>
      </c>
      <c r="B255" s="20"/>
      <c r="C255" s="21" t="s">
        <v>740</v>
      </c>
      <c r="D255" s="155"/>
      <c r="E255" s="189"/>
      <c r="F255" s="189"/>
      <c r="G255" s="44"/>
      <c r="H255" s="44"/>
      <c r="I255" s="44"/>
      <c r="J255" s="8">
        <f t="shared" ref="J255:J263" si="122">IFERROR(SUM(H255/E255),0)*100</f>
        <v>0</v>
      </c>
      <c r="K255" s="98">
        <f t="shared" si="93"/>
        <v>0</v>
      </c>
      <c r="L255" s="103">
        <v>21</v>
      </c>
      <c r="M255" s="77">
        <v>21</v>
      </c>
      <c r="N255" s="76">
        <v>21</v>
      </c>
      <c r="O255" s="76">
        <v>21</v>
      </c>
      <c r="P255" s="102">
        <v>21</v>
      </c>
      <c r="Q255" s="74"/>
      <c r="R255" s="74"/>
      <c r="S255" s="74"/>
      <c r="T255" s="113"/>
      <c r="U255" s="113"/>
    </row>
    <row r="256" spans="1:23" s="43" customFormat="1" x14ac:dyDescent="0.25">
      <c r="A256" s="11"/>
      <c r="B256" s="11">
        <v>372</v>
      </c>
      <c r="C256" s="12" t="s">
        <v>301</v>
      </c>
      <c r="D256" s="13">
        <f t="shared" ref="D256:I256" si="123">SUM(D257)</f>
        <v>0</v>
      </c>
      <c r="E256" s="186">
        <f t="shared" si="123"/>
        <v>56825.34</v>
      </c>
      <c r="F256" s="186">
        <f t="shared" si="123"/>
        <v>102320.40999999999</v>
      </c>
      <c r="G256" s="13">
        <f t="shared" si="123"/>
        <v>133000</v>
      </c>
      <c r="H256" s="13">
        <f t="shared" si="123"/>
        <v>118800</v>
      </c>
      <c r="I256" s="13">
        <f t="shared" si="123"/>
        <v>102320.40999999999</v>
      </c>
      <c r="J256" s="8">
        <f t="shared" si="122"/>
        <v>209.06166157562808</v>
      </c>
      <c r="K256" s="98">
        <f t="shared" si="93"/>
        <v>89.323308270676691</v>
      </c>
      <c r="L256" s="103"/>
      <c r="M256" s="77"/>
      <c r="N256" s="76"/>
      <c r="O256" s="76"/>
      <c r="P256" s="102"/>
      <c r="Q256" s="74"/>
      <c r="R256" s="74"/>
      <c r="S256" s="74"/>
      <c r="T256" s="110"/>
      <c r="U256" s="110"/>
      <c r="V256" s="33"/>
      <c r="W256" s="33"/>
    </row>
    <row r="257" spans="1:23" s="33" customFormat="1" x14ac:dyDescent="0.25">
      <c r="A257" s="37"/>
      <c r="B257" s="37">
        <v>3722</v>
      </c>
      <c r="C257" s="38" t="s">
        <v>301</v>
      </c>
      <c r="D257" s="39">
        <f t="shared" ref="D257:I257" si="124">SUM(D258:D265)</f>
        <v>0</v>
      </c>
      <c r="E257" s="184">
        <f>SUM(E258:E265)</f>
        <v>56825.34</v>
      </c>
      <c r="F257" s="184">
        <f t="shared" ref="F257" si="125">SUM(F258:F265)</f>
        <v>102320.40999999999</v>
      </c>
      <c r="G257" s="39">
        <f t="shared" si="124"/>
        <v>133000</v>
      </c>
      <c r="H257" s="39">
        <f>SUM(H258:H265)</f>
        <v>118800</v>
      </c>
      <c r="I257" s="39">
        <f t="shared" si="124"/>
        <v>102320.40999999999</v>
      </c>
      <c r="J257" s="8">
        <f t="shared" si="122"/>
        <v>209.06166157562808</v>
      </c>
      <c r="K257" s="98">
        <f t="shared" si="93"/>
        <v>89.323308270676691</v>
      </c>
      <c r="V257" s="36"/>
      <c r="W257" s="36"/>
    </row>
    <row r="258" spans="1:23" s="36" customFormat="1" x14ac:dyDescent="0.25">
      <c r="A258" s="15">
        <v>178</v>
      </c>
      <c r="B258" s="15">
        <v>372211</v>
      </c>
      <c r="C258" s="16" t="s">
        <v>302</v>
      </c>
      <c r="D258" s="45"/>
      <c r="E258" s="185">
        <v>26983.759999999998</v>
      </c>
      <c r="F258" s="185">
        <v>44003.6</v>
      </c>
      <c r="G258" s="42">
        <v>40000</v>
      </c>
      <c r="H258" s="42">
        <v>45000</v>
      </c>
      <c r="I258" s="42">
        <v>44003.6</v>
      </c>
      <c r="J258" s="8">
        <f t="shared" si="122"/>
        <v>166.76697391319817</v>
      </c>
      <c r="K258" s="98">
        <f t="shared" si="93"/>
        <v>112.5</v>
      </c>
      <c r="L258" s="103">
        <v>21</v>
      </c>
      <c r="M258" s="77">
        <v>21</v>
      </c>
      <c r="N258" s="76">
        <v>21</v>
      </c>
      <c r="O258" s="76">
        <v>21</v>
      </c>
      <c r="P258" s="102">
        <v>21</v>
      </c>
      <c r="Q258" s="74" t="s">
        <v>685</v>
      </c>
      <c r="R258" s="74" t="s">
        <v>685</v>
      </c>
      <c r="S258" s="74" t="s">
        <v>685</v>
      </c>
      <c r="T258" s="111" t="s">
        <v>685</v>
      </c>
      <c r="U258" s="111" t="s">
        <v>685</v>
      </c>
      <c r="V258" s="41"/>
      <c r="W258" s="41"/>
    </row>
    <row r="259" spans="1:23" s="41" customFormat="1" x14ac:dyDescent="0.25">
      <c r="A259" s="15">
        <v>179</v>
      </c>
      <c r="B259" s="15">
        <v>372212</v>
      </c>
      <c r="C259" s="16" t="s">
        <v>303</v>
      </c>
      <c r="D259" s="45"/>
      <c r="E259" s="185">
        <v>829.52</v>
      </c>
      <c r="F259" s="185">
        <v>1466.64</v>
      </c>
      <c r="G259" s="42">
        <v>1500</v>
      </c>
      <c r="H259" s="42">
        <v>1800</v>
      </c>
      <c r="I259" s="42">
        <v>1466.64</v>
      </c>
      <c r="J259" s="8">
        <f t="shared" si="122"/>
        <v>216.99295978397143</v>
      </c>
      <c r="K259" s="98">
        <f t="shared" ref="K259:K332" si="126">IFERROR(SUM(H259/G259),0)*100</f>
        <v>120</v>
      </c>
      <c r="L259" s="103">
        <v>21</v>
      </c>
      <c r="M259" s="77">
        <v>21</v>
      </c>
      <c r="N259" s="76">
        <v>21</v>
      </c>
      <c r="O259" s="76">
        <v>21</v>
      </c>
      <c r="P259" s="102">
        <v>21</v>
      </c>
      <c r="Q259" s="74">
        <v>102</v>
      </c>
      <c r="R259" s="74" t="s">
        <v>703</v>
      </c>
      <c r="S259" s="74">
        <v>102</v>
      </c>
      <c r="T259" s="112" t="s">
        <v>703</v>
      </c>
      <c r="U259" s="112" t="s">
        <v>703</v>
      </c>
      <c r="V259" s="43"/>
      <c r="W259" s="43"/>
    </row>
    <row r="260" spans="1:23" s="43" customFormat="1" x14ac:dyDescent="0.25">
      <c r="A260" s="15">
        <v>180</v>
      </c>
      <c r="B260" s="15">
        <v>37223</v>
      </c>
      <c r="C260" s="16" t="s">
        <v>304</v>
      </c>
      <c r="D260" s="45"/>
      <c r="E260" s="185"/>
      <c r="F260" s="185">
        <v>6290</v>
      </c>
      <c r="G260" s="42">
        <v>20000</v>
      </c>
      <c r="H260" s="42">
        <v>6000</v>
      </c>
      <c r="I260" s="42">
        <v>6290</v>
      </c>
      <c r="J260" s="8">
        <f t="shared" si="122"/>
        <v>0</v>
      </c>
      <c r="K260" s="98">
        <f t="shared" si="126"/>
        <v>30</v>
      </c>
      <c r="L260" s="103">
        <v>41</v>
      </c>
      <c r="M260" s="77">
        <v>41</v>
      </c>
      <c r="N260" s="76">
        <v>41</v>
      </c>
      <c r="O260" s="76">
        <v>41</v>
      </c>
      <c r="P260" s="102">
        <v>41</v>
      </c>
      <c r="Q260" s="74" t="s">
        <v>711</v>
      </c>
      <c r="R260" s="74" t="s">
        <v>711</v>
      </c>
      <c r="S260" s="74" t="s">
        <v>711</v>
      </c>
      <c r="T260" s="113" t="s">
        <v>711</v>
      </c>
      <c r="U260" s="113" t="s">
        <v>711</v>
      </c>
      <c r="V260" s="41"/>
      <c r="W260" s="41"/>
    </row>
    <row r="261" spans="1:23" s="41" customFormat="1" x14ac:dyDescent="0.25">
      <c r="A261" s="15"/>
      <c r="B261" s="15">
        <v>372231</v>
      </c>
      <c r="C261" s="16" t="s">
        <v>446</v>
      </c>
      <c r="D261" s="45"/>
      <c r="E261" s="185">
        <v>190.27</v>
      </c>
      <c r="F261" s="185">
        <v>434.84</v>
      </c>
      <c r="G261" s="42">
        <v>500</v>
      </c>
      <c r="H261" s="42">
        <v>500</v>
      </c>
      <c r="I261" s="42">
        <v>434.84</v>
      </c>
      <c r="J261" s="8">
        <f t="shared" si="122"/>
        <v>262.78446418247751</v>
      </c>
      <c r="K261" s="98">
        <f t="shared" si="126"/>
        <v>100</v>
      </c>
      <c r="L261" s="103">
        <v>21</v>
      </c>
      <c r="M261" s="77">
        <v>21</v>
      </c>
      <c r="N261" s="76">
        <v>21</v>
      </c>
      <c r="O261" s="76">
        <v>21</v>
      </c>
      <c r="P261" s="102">
        <v>21</v>
      </c>
      <c r="Q261" s="74" t="s">
        <v>711</v>
      </c>
      <c r="R261" s="74" t="s">
        <v>711</v>
      </c>
      <c r="S261" s="74" t="s">
        <v>711</v>
      </c>
      <c r="T261" s="112" t="s">
        <v>711</v>
      </c>
      <c r="U261" s="112" t="s">
        <v>711</v>
      </c>
      <c r="V261" s="43"/>
      <c r="W261" s="43"/>
    </row>
    <row r="262" spans="1:23" s="43" customFormat="1" x14ac:dyDescent="0.25">
      <c r="A262" s="15">
        <v>182</v>
      </c>
      <c r="B262" s="15">
        <v>372242</v>
      </c>
      <c r="C262" s="16" t="s">
        <v>89</v>
      </c>
      <c r="D262" s="45"/>
      <c r="E262" s="185">
        <v>726.4</v>
      </c>
      <c r="F262" s="185">
        <v>805.8</v>
      </c>
      <c r="G262" s="42">
        <v>2000</v>
      </c>
      <c r="H262" s="42">
        <v>2000</v>
      </c>
      <c r="I262" s="42">
        <v>805.8</v>
      </c>
      <c r="J262" s="8">
        <f t="shared" si="122"/>
        <v>275.33039647577095</v>
      </c>
      <c r="K262" s="98">
        <f t="shared" si="126"/>
        <v>100</v>
      </c>
      <c r="L262" s="103">
        <v>21</v>
      </c>
      <c r="M262" s="77">
        <v>21</v>
      </c>
      <c r="N262" s="76">
        <v>21</v>
      </c>
      <c r="O262" s="76">
        <v>21</v>
      </c>
      <c r="P262" s="102">
        <v>21</v>
      </c>
      <c r="Q262" s="74" t="s">
        <v>709</v>
      </c>
      <c r="R262" s="74" t="s">
        <v>709</v>
      </c>
      <c r="S262" s="74" t="s">
        <v>709</v>
      </c>
      <c r="T262" s="113" t="s">
        <v>709</v>
      </c>
      <c r="U262" s="113" t="s">
        <v>709</v>
      </c>
      <c r="V262" s="41"/>
      <c r="W262" s="41"/>
    </row>
    <row r="263" spans="1:23" s="41" customFormat="1" x14ac:dyDescent="0.25">
      <c r="A263" s="15"/>
      <c r="B263" s="15">
        <v>372253</v>
      </c>
      <c r="C263" s="16" t="s">
        <v>403</v>
      </c>
      <c r="D263" s="45"/>
      <c r="E263" s="185">
        <v>16637.55</v>
      </c>
      <c r="F263" s="185">
        <v>24556.21</v>
      </c>
      <c r="G263" s="42">
        <v>20000</v>
      </c>
      <c r="H263" s="42">
        <v>27000</v>
      </c>
      <c r="I263" s="42">
        <v>24556.21</v>
      </c>
      <c r="J263" s="8">
        <f t="shared" si="122"/>
        <v>162.28350929073093</v>
      </c>
      <c r="K263" s="98">
        <f t="shared" si="126"/>
        <v>135</v>
      </c>
      <c r="L263" s="103">
        <v>21</v>
      </c>
      <c r="M263" s="77">
        <v>21</v>
      </c>
      <c r="N263" s="76">
        <v>21</v>
      </c>
      <c r="O263" s="76">
        <v>21</v>
      </c>
      <c r="P263" s="102">
        <v>21</v>
      </c>
      <c r="Q263" s="74" t="s">
        <v>683</v>
      </c>
      <c r="R263" s="74" t="s">
        <v>683</v>
      </c>
      <c r="S263" s="74" t="s">
        <v>683</v>
      </c>
      <c r="T263" s="112" t="s">
        <v>683</v>
      </c>
      <c r="U263" s="112" t="s">
        <v>683</v>
      </c>
    </row>
    <row r="264" spans="1:23" s="41" customFormat="1" x14ac:dyDescent="0.25">
      <c r="A264" s="15"/>
      <c r="B264" s="15">
        <v>372194</v>
      </c>
      <c r="C264" s="16" t="s">
        <v>804</v>
      </c>
      <c r="D264" s="45"/>
      <c r="E264" s="185">
        <v>10617.84</v>
      </c>
      <c r="F264" s="185">
        <v>23890.14</v>
      </c>
      <c r="G264" s="42">
        <v>26500</v>
      </c>
      <c r="H264" s="42">
        <v>26500</v>
      </c>
      <c r="I264" s="42">
        <v>23890.14</v>
      </c>
      <c r="J264" s="8"/>
      <c r="K264" s="98"/>
      <c r="L264" s="103">
        <v>21</v>
      </c>
      <c r="M264" s="77">
        <v>21</v>
      </c>
      <c r="N264" s="76">
        <v>21</v>
      </c>
      <c r="O264" s="76">
        <v>21</v>
      </c>
      <c r="P264" s="102">
        <v>21</v>
      </c>
      <c r="Q264" s="74" t="s">
        <v>707</v>
      </c>
      <c r="R264" s="74" t="s">
        <v>707</v>
      </c>
      <c r="S264" s="74" t="s">
        <v>707</v>
      </c>
      <c r="T264" s="112" t="s">
        <v>707</v>
      </c>
      <c r="U264" s="112" t="s">
        <v>707</v>
      </c>
      <c r="V264" s="43"/>
      <c r="W264" s="43"/>
    </row>
    <row r="265" spans="1:23" s="43" customFormat="1" x14ac:dyDescent="0.25">
      <c r="A265" s="15">
        <v>183</v>
      </c>
      <c r="B265" s="15">
        <v>37229</v>
      </c>
      <c r="C265" s="16" t="s">
        <v>108</v>
      </c>
      <c r="D265" s="45"/>
      <c r="E265" s="185">
        <v>840</v>
      </c>
      <c r="F265" s="185">
        <v>873.18</v>
      </c>
      <c r="G265" s="42">
        <v>22500</v>
      </c>
      <c r="H265" s="42">
        <v>10000</v>
      </c>
      <c r="I265" s="42">
        <v>873.18</v>
      </c>
      <c r="J265" s="8">
        <f t="shared" ref="J265:J296" si="127">IFERROR(SUM(H265/E265),0)*100</f>
        <v>1190.4761904761906</v>
      </c>
      <c r="K265" s="98">
        <f t="shared" si="126"/>
        <v>44.444444444444443</v>
      </c>
      <c r="L265" s="103">
        <v>21</v>
      </c>
      <c r="M265" s="77">
        <v>21</v>
      </c>
      <c r="N265" s="76">
        <v>21</v>
      </c>
      <c r="O265" s="76">
        <v>21</v>
      </c>
      <c r="P265" s="102">
        <v>21</v>
      </c>
      <c r="Q265" s="74" t="s">
        <v>709</v>
      </c>
      <c r="R265" s="74" t="s">
        <v>709</v>
      </c>
      <c r="S265" s="74" t="s">
        <v>709</v>
      </c>
      <c r="T265" s="113" t="s">
        <v>709</v>
      </c>
      <c r="U265" s="113" t="s">
        <v>709</v>
      </c>
    </row>
    <row r="266" spans="1:23" s="43" customFormat="1" x14ac:dyDescent="0.25">
      <c r="A266" s="6"/>
      <c r="B266" s="6">
        <v>38</v>
      </c>
      <c r="C266" s="10" t="s">
        <v>305</v>
      </c>
      <c r="D266" s="32">
        <f t="shared" ref="D266:I266" si="128">SUM(D267+D331+D333)</f>
        <v>0</v>
      </c>
      <c r="E266" s="180">
        <f t="shared" ref="E266:F266" si="129">SUM(E267+E331+E333)</f>
        <v>114616.46</v>
      </c>
      <c r="F266" s="180">
        <f t="shared" si="129"/>
        <v>206489.81999999998</v>
      </c>
      <c r="G266" s="32">
        <f t="shared" si="128"/>
        <v>213500</v>
      </c>
      <c r="H266" s="32">
        <f t="shared" si="128"/>
        <v>220900</v>
      </c>
      <c r="I266" s="32">
        <f t="shared" si="128"/>
        <v>206489.81999999998</v>
      </c>
      <c r="J266" s="8">
        <f t="shared" si="127"/>
        <v>192.7297353277182</v>
      </c>
      <c r="K266" s="98">
        <f t="shared" si="126"/>
        <v>103.46604215456674</v>
      </c>
      <c r="L266" s="103"/>
      <c r="M266" s="77"/>
      <c r="N266" s="76"/>
      <c r="O266" s="76"/>
      <c r="P266" s="102"/>
      <c r="Q266" s="74"/>
      <c r="R266" s="74"/>
      <c r="S266" s="74"/>
      <c r="T266" s="113"/>
      <c r="U266" s="113"/>
    </row>
    <row r="267" spans="1:23" s="43" customFormat="1" x14ac:dyDescent="0.25">
      <c r="A267" s="11"/>
      <c r="B267" s="11">
        <v>381</v>
      </c>
      <c r="C267" s="12" t="s">
        <v>306</v>
      </c>
      <c r="D267" s="35">
        <f t="shared" ref="D267:I267" si="130">SUM(D268+D270+D272+D283+D300+D316+D319+D326+D328)</f>
        <v>0</v>
      </c>
      <c r="E267" s="183">
        <f t="shared" ref="E267:F267" si="131">SUM(E268+E270+E272+E283+E300+E316+E319+E326+E328)</f>
        <v>108239.97</v>
      </c>
      <c r="F267" s="183">
        <f t="shared" si="131"/>
        <v>199593.33</v>
      </c>
      <c r="G267" s="35">
        <f t="shared" si="130"/>
        <v>199000</v>
      </c>
      <c r="H267" s="35">
        <f t="shared" si="130"/>
        <v>210400</v>
      </c>
      <c r="I267" s="35">
        <f t="shared" si="130"/>
        <v>199593.33</v>
      </c>
      <c r="J267" s="8">
        <f t="shared" si="127"/>
        <v>194.38290679496677</v>
      </c>
      <c r="K267" s="98">
        <f t="shared" si="126"/>
        <v>105.7286432160804</v>
      </c>
      <c r="L267" s="103"/>
      <c r="M267" s="77"/>
      <c r="N267" s="76"/>
      <c r="O267" s="76"/>
      <c r="P267" s="102"/>
      <c r="Q267" s="74"/>
      <c r="R267" s="74"/>
      <c r="S267" s="74"/>
      <c r="T267" s="113"/>
      <c r="U267" s="113"/>
    </row>
    <row r="268" spans="1:23" s="43" customFormat="1" x14ac:dyDescent="0.25">
      <c r="A268" s="37"/>
      <c r="B268" s="37">
        <v>38112</v>
      </c>
      <c r="C268" s="38" t="s">
        <v>307</v>
      </c>
      <c r="D268" s="39">
        <f t="shared" ref="D268:I268" si="132">SUM(D269)</f>
        <v>0</v>
      </c>
      <c r="E268" s="184">
        <f t="shared" si="132"/>
        <v>5625</v>
      </c>
      <c r="F268" s="184">
        <f t="shared" si="132"/>
        <v>7788.61</v>
      </c>
      <c r="G268" s="39">
        <f t="shared" si="132"/>
        <v>5000</v>
      </c>
      <c r="H268" s="39">
        <f t="shared" si="132"/>
        <v>8000</v>
      </c>
      <c r="I268" s="39">
        <f t="shared" si="132"/>
        <v>7788.61</v>
      </c>
      <c r="J268" s="8">
        <f t="shared" si="127"/>
        <v>142.22222222222223</v>
      </c>
      <c r="K268" s="98">
        <f t="shared" si="126"/>
        <v>160</v>
      </c>
    </row>
    <row r="269" spans="1:23" s="43" customFormat="1" x14ac:dyDescent="0.25">
      <c r="A269" s="15">
        <v>184</v>
      </c>
      <c r="B269" s="15">
        <v>38112</v>
      </c>
      <c r="C269" s="16" t="s">
        <v>308</v>
      </c>
      <c r="D269" s="45"/>
      <c r="E269" s="185">
        <v>5625</v>
      </c>
      <c r="F269" s="185">
        <v>7788.61</v>
      </c>
      <c r="G269" s="42">
        <v>5000</v>
      </c>
      <c r="H269" s="42">
        <v>8000</v>
      </c>
      <c r="I269" s="42">
        <v>7788.61</v>
      </c>
      <c r="J269" s="8">
        <f t="shared" si="127"/>
        <v>142.22222222222223</v>
      </c>
      <c r="K269" s="98">
        <f t="shared" si="126"/>
        <v>160</v>
      </c>
      <c r="L269" s="103">
        <v>21</v>
      </c>
      <c r="M269" s="77">
        <v>21</v>
      </c>
      <c r="N269" s="76">
        <v>21</v>
      </c>
      <c r="O269" s="76">
        <v>21</v>
      </c>
      <c r="P269" s="102">
        <v>21</v>
      </c>
      <c r="Q269" s="74" t="s">
        <v>675</v>
      </c>
      <c r="R269" s="74" t="s">
        <v>675</v>
      </c>
      <c r="S269" s="74" t="s">
        <v>675</v>
      </c>
      <c r="T269" s="113" t="s">
        <v>675</v>
      </c>
      <c r="U269" s="113" t="s">
        <v>675</v>
      </c>
    </row>
    <row r="270" spans="1:23" s="43" customFormat="1" x14ac:dyDescent="0.25">
      <c r="A270" s="37"/>
      <c r="B270" s="37">
        <v>38113</v>
      </c>
      <c r="C270" s="38" t="s">
        <v>309</v>
      </c>
      <c r="D270" s="39">
        <f t="shared" ref="D270:I270" si="133">SUM(D271)</f>
        <v>0</v>
      </c>
      <c r="E270" s="184">
        <f t="shared" si="133"/>
        <v>0</v>
      </c>
      <c r="F270" s="184">
        <f t="shared" si="133"/>
        <v>700</v>
      </c>
      <c r="G270" s="39">
        <f t="shared" si="133"/>
        <v>1000</v>
      </c>
      <c r="H270" s="39">
        <f t="shared" si="133"/>
        <v>700</v>
      </c>
      <c r="I270" s="39">
        <f t="shared" si="133"/>
        <v>700</v>
      </c>
      <c r="J270" s="8">
        <f t="shared" si="127"/>
        <v>0</v>
      </c>
      <c r="K270" s="98">
        <f t="shared" si="126"/>
        <v>70</v>
      </c>
    </row>
    <row r="271" spans="1:23" s="43" customFormat="1" x14ac:dyDescent="0.25">
      <c r="A271" s="15">
        <v>185</v>
      </c>
      <c r="B271" s="15">
        <v>38113</v>
      </c>
      <c r="C271" s="16" t="s">
        <v>309</v>
      </c>
      <c r="D271" s="45"/>
      <c r="E271" s="185"/>
      <c r="F271" s="185">
        <v>700</v>
      </c>
      <c r="G271" s="42">
        <v>1000</v>
      </c>
      <c r="H271" s="42">
        <v>700</v>
      </c>
      <c r="I271" s="42">
        <v>700</v>
      </c>
      <c r="J271" s="8">
        <f t="shared" si="127"/>
        <v>0</v>
      </c>
      <c r="K271" s="98">
        <f t="shared" si="126"/>
        <v>70</v>
      </c>
      <c r="L271" s="103">
        <v>11</v>
      </c>
      <c r="M271" s="77">
        <v>11</v>
      </c>
      <c r="N271" s="76">
        <v>11</v>
      </c>
      <c r="O271" s="76">
        <v>11</v>
      </c>
      <c r="P271" s="102">
        <v>11</v>
      </c>
      <c r="Q271" s="74" t="s">
        <v>563</v>
      </c>
      <c r="R271" s="74" t="s">
        <v>563</v>
      </c>
      <c r="S271" s="74" t="s">
        <v>563</v>
      </c>
      <c r="T271" s="113" t="s">
        <v>563</v>
      </c>
      <c r="U271" s="113" t="s">
        <v>563</v>
      </c>
    </row>
    <row r="272" spans="1:23" s="43" customFormat="1" x14ac:dyDescent="0.25">
      <c r="A272" s="37"/>
      <c r="B272" s="37">
        <v>38114</v>
      </c>
      <c r="C272" s="38" t="s">
        <v>310</v>
      </c>
      <c r="D272" s="39">
        <f t="shared" ref="D272:I272" si="134">SUM(D273:D282)</f>
        <v>0</v>
      </c>
      <c r="E272" s="184">
        <f>SUM(E273:E282)</f>
        <v>1025.25</v>
      </c>
      <c r="F272" s="184">
        <f t="shared" ref="F272" si="135">SUM(F273:F282)</f>
        <v>4300.08</v>
      </c>
      <c r="G272" s="39">
        <f t="shared" si="134"/>
        <v>5000</v>
      </c>
      <c r="H272" s="39">
        <f>SUM(H273:H282)</f>
        <v>4400</v>
      </c>
      <c r="I272" s="39">
        <f t="shared" si="134"/>
        <v>4300.08</v>
      </c>
      <c r="J272" s="8">
        <f t="shared" si="127"/>
        <v>429.16361862960252</v>
      </c>
      <c r="K272" s="98">
        <f t="shared" si="126"/>
        <v>88</v>
      </c>
    </row>
    <row r="273" spans="1:23" s="43" customFormat="1" x14ac:dyDescent="0.25">
      <c r="A273" s="15"/>
      <c r="B273" s="15"/>
      <c r="C273" s="16" t="s">
        <v>311</v>
      </c>
      <c r="D273" s="45"/>
      <c r="E273" s="185"/>
      <c r="F273" s="185"/>
      <c r="G273" s="42"/>
      <c r="H273" s="42"/>
      <c r="I273" s="42"/>
      <c r="J273" s="8">
        <f t="shared" si="127"/>
        <v>0</v>
      </c>
      <c r="K273" s="98">
        <f t="shared" si="126"/>
        <v>0</v>
      </c>
      <c r="L273" s="103">
        <v>21</v>
      </c>
      <c r="M273" s="77">
        <v>21</v>
      </c>
      <c r="N273" s="76">
        <v>21</v>
      </c>
      <c r="O273" s="76">
        <v>21</v>
      </c>
      <c r="P273" s="102">
        <v>21</v>
      </c>
      <c r="Q273" s="74" t="s">
        <v>563</v>
      </c>
      <c r="R273" s="74" t="s">
        <v>563</v>
      </c>
      <c r="S273" s="74" t="s">
        <v>563</v>
      </c>
      <c r="T273" s="113" t="s">
        <v>563</v>
      </c>
      <c r="U273" s="113" t="s">
        <v>563</v>
      </c>
    </row>
    <row r="274" spans="1:23" s="43" customFormat="1" x14ac:dyDescent="0.25">
      <c r="A274" s="15"/>
      <c r="B274" s="15">
        <v>381141</v>
      </c>
      <c r="C274" s="16" t="s">
        <v>312</v>
      </c>
      <c r="D274" s="45"/>
      <c r="E274" s="185">
        <v>726.63</v>
      </c>
      <c r="F274" s="185">
        <v>3105.6</v>
      </c>
      <c r="G274" s="42">
        <v>5000</v>
      </c>
      <c r="H274" s="42">
        <v>4400</v>
      </c>
      <c r="I274" s="42">
        <v>3105.6</v>
      </c>
      <c r="J274" s="8">
        <f t="shared" si="127"/>
        <v>605.53514168146103</v>
      </c>
      <c r="K274" s="98">
        <f t="shared" si="126"/>
        <v>88</v>
      </c>
      <c r="L274" s="103">
        <v>21</v>
      </c>
      <c r="M274" s="77">
        <v>21</v>
      </c>
      <c r="N274" s="76">
        <v>21</v>
      </c>
      <c r="O274" s="76">
        <v>21</v>
      </c>
      <c r="P274" s="102">
        <v>21</v>
      </c>
      <c r="Q274" s="74" t="s">
        <v>563</v>
      </c>
      <c r="R274" s="74" t="s">
        <v>563</v>
      </c>
      <c r="S274" s="74" t="s">
        <v>563</v>
      </c>
      <c r="T274" s="113" t="s">
        <v>563</v>
      </c>
      <c r="U274" s="113" t="s">
        <v>563</v>
      </c>
    </row>
    <row r="275" spans="1:23" s="43" customFormat="1" x14ac:dyDescent="0.25">
      <c r="A275" s="15">
        <v>186</v>
      </c>
      <c r="B275" s="15">
        <v>3811411</v>
      </c>
      <c r="C275" s="16" t="s">
        <v>313</v>
      </c>
      <c r="D275" s="45"/>
      <c r="E275" s="185"/>
      <c r="F275" s="185"/>
      <c r="G275" s="42"/>
      <c r="H275" s="42"/>
      <c r="I275" s="42"/>
      <c r="J275" s="8">
        <f t="shared" si="127"/>
        <v>0</v>
      </c>
      <c r="K275" s="98">
        <f t="shared" si="126"/>
        <v>0</v>
      </c>
      <c r="L275" s="103">
        <v>21</v>
      </c>
      <c r="M275" s="77">
        <v>21</v>
      </c>
      <c r="N275" s="76">
        <v>21</v>
      </c>
      <c r="O275" s="76">
        <v>21</v>
      </c>
      <c r="P275" s="102">
        <v>21</v>
      </c>
      <c r="Q275" s="74" t="s">
        <v>563</v>
      </c>
      <c r="R275" s="74" t="s">
        <v>563</v>
      </c>
      <c r="S275" s="74" t="s">
        <v>563</v>
      </c>
      <c r="T275" s="113" t="s">
        <v>563</v>
      </c>
      <c r="U275" s="113" t="s">
        <v>563</v>
      </c>
      <c r="V275" s="41"/>
      <c r="W275" s="41"/>
    </row>
    <row r="276" spans="1:23" s="41" customFormat="1" x14ac:dyDescent="0.25">
      <c r="A276" s="15">
        <v>187</v>
      </c>
      <c r="B276" s="15">
        <v>3811412</v>
      </c>
      <c r="C276" s="16" t="s">
        <v>314</v>
      </c>
      <c r="D276" s="45"/>
      <c r="E276" s="185"/>
      <c r="F276" s="185"/>
      <c r="G276" s="42"/>
      <c r="H276" s="42"/>
      <c r="I276" s="42"/>
      <c r="J276" s="8">
        <f t="shared" si="127"/>
        <v>0</v>
      </c>
      <c r="K276" s="98">
        <f t="shared" si="126"/>
        <v>0</v>
      </c>
      <c r="L276" s="103">
        <v>21</v>
      </c>
      <c r="M276" s="77">
        <v>21</v>
      </c>
      <c r="N276" s="76">
        <v>21</v>
      </c>
      <c r="O276" s="76">
        <v>21</v>
      </c>
      <c r="P276" s="102">
        <v>21</v>
      </c>
      <c r="Q276" s="74" t="s">
        <v>563</v>
      </c>
      <c r="R276" s="74" t="s">
        <v>563</v>
      </c>
      <c r="S276" s="74" t="s">
        <v>563</v>
      </c>
      <c r="T276" s="113" t="s">
        <v>563</v>
      </c>
      <c r="U276" s="113" t="s">
        <v>563</v>
      </c>
      <c r="V276" s="43"/>
      <c r="W276" s="43"/>
    </row>
    <row r="277" spans="1:23" s="43" customFormat="1" x14ac:dyDescent="0.25">
      <c r="A277" s="15">
        <v>188</v>
      </c>
      <c r="B277" s="15">
        <v>381142</v>
      </c>
      <c r="C277" s="16" t="s">
        <v>315</v>
      </c>
      <c r="D277" s="45"/>
      <c r="E277" s="185">
        <v>199.08</v>
      </c>
      <c r="F277" s="185">
        <v>796.32</v>
      </c>
      <c r="G277" s="42"/>
      <c r="H277" s="42"/>
      <c r="I277" s="42">
        <v>796.32</v>
      </c>
      <c r="J277" s="8">
        <f t="shared" si="127"/>
        <v>0</v>
      </c>
      <c r="K277" s="98">
        <f t="shared" si="126"/>
        <v>0</v>
      </c>
      <c r="L277" s="103">
        <v>21</v>
      </c>
      <c r="M277" s="77">
        <v>21</v>
      </c>
      <c r="N277" s="76">
        <v>21</v>
      </c>
      <c r="O277" s="76">
        <v>21</v>
      </c>
      <c r="P277" s="102">
        <v>21</v>
      </c>
      <c r="Q277" s="74" t="s">
        <v>563</v>
      </c>
      <c r="R277" s="74" t="s">
        <v>563</v>
      </c>
      <c r="S277" s="74" t="s">
        <v>563</v>
      </c>
      <c r="T277" s="113" t="s">
        <v>563</v>
      </c>
      <c r="U277" s="113" t="s">
        <v>563</v>
      </c>
    </row>
    <row r="278" spans="1:23" s="43" customFormat="1" x14ac:dyDescent="0.25">
      <c r="A278" s="15">
        <v>189</v>
      </c>
      <c r="B278" s="15">
        <v>381143</v>
      </c>
      <c r="C278" s="16" t="s">
        <v>316</v>
      </c>
      <c r="D278" s="45"/>
      <c r="E278" s="185"/>
      <c r="F278" s="185"/>
      <c r="G278" s="42"/>
      <c r="H278" s="42"/>
      <c r="I278" s="42"/>
      <c r="J278" s="8">
        <f t="shared" si="127"/>
        <v>0</v>
      </c>
      <c r="K278" s="98">
        <f t="shared" si="126"/>
        <v>0</v>
      </c>
      <c r="L278" s="103">
        <v>21</v>
      </c>
      <c r="M278" s="77">
        <v>21</v>
      </c>
      <c r="N278" s="76">
        <v>21</v>
      </c>
      <c r="O278" s="76">
        <v>21</v>
      </c>
      <c r="P278" s="102">
        <v>21</v>
      </c>
      <c r="Q278" s="74" t="s">
        <v>563</v>
      </c>
      <c r="R278" s="74" t="s">
        <v>563</v>
      </c>
      <c r="S278" s="74" t="s">
        <v>563</v>
      </c>
      <c r="T278" s="74" t="s">
        <v>563</v>
      </c>
      <c r="U278" s="74" t="s">
        <v>563</v>
      </c>
    </row>
    <row r="279" spans="1:23" s="43" customFormat="1" x14ac:dyDescent="0.25">
      <c r="A279" s="15">
        <v>190</v>
      </c>
      <c r="B279" s="15">
        <v>381144</v>
      </c>
      <c r="C279" s="16" t="s">
        <v>910</v>
      </c>
      <c r="D279" s="45"/>
      <c r="E279" s="185">
        <v>99.54</v>
      </c>
      <c r="F279" s="185">
        <v>398.16</v>
      </c>
      <c r="G279" s="42"/>
      <c r="H279" s="42"/>
      <c r="I279" s="42">
        <v>398.16</v>
      </c>
      <c r="J279" s="8">
        <f t="shared" si="127"/>
        <v>0</v>
      </c>
      <c r="K279" s="98">
        <f t="shared" si="126"/>
        <v>0</v>
      </c>
      <c r="L279" s="103">
        <v>21</v>
      </c>
      <c r="M279" s="77">
        <v>21</v>
      </c>
      <c r="N279" s="76">
        <v>21</v>
      </c>
      <c r="O279" s="76">
        <v>21</v>
      </c>
      <c r="P279" s="102">
        <v>21</v>
      </c>
      <c r="Q279" s="74" t="s">
        <v>563</v>
      </c>
      <c r="R279" s="74" t="s">
        <v>563</v>
      </c>
      <c r="S279" s="74" t="s">
        <v>563</v>
      </c>
      <c r="T279" s="74" t="s">
        <v>563</v>
      </c>
      <c r="U279" s="74" t="s">
        <v>563</v>
      </c>
    </row>
    <row r="280" spans="1:23" s="43" customFormat="1" x14ac:dyDescent="0.25">
      <c r="A280" s="15">
        <v>191</v>
      </c>
      <c r="B280" s="15">
        <v>381145</v>
      </c>
      <c r="C280" s="16" t="s">
        <v>317</v>
      </c>
      <c r="D280" s="45"/>
      <c r="E280" s="185"/>
      <c r="F280" s="185"/>
      <c r="G280" s="42"/>
      <c r="H280" s="42"/>
      <c r="I280" s="42"/>
      <c r="J280" s="8">
        <f t="shared" si="127"/>
        <v>0</v>
      </c>
      <c r="K280" s="98">
        <f t="shared" si="126"/>
        <v>0</v>
      </c>
      <c r="L280" s="103">
        <v>21</v>
      </c>
      <c r="M280" s="77">
        <v>21</v>
      </c>
      <c r="N280" s="76">
        <v>21</v>
      </c>
      <c r="O280" s="76">
        <v>21</v>
      </c>
      <c r="P280" s="102">
        <v>21</v>
      </c>
      <c r="Q280" s="74" t="s">
        <v>563</v>
      </c>
      <c r="R280" s="74" t="s">
        <v>563</v>
      </c>
      <c r="S280" s="74" t="s">
        <v>563</v>
      </c>
      <c r="T280" s="74" t="s">
        <v>563</v>
      </c>
      <c r="U280" s="74" t="s">
        <v>563</v>
      </c>
    </row>
    <row r="281" spans="1:23" s="43" customFormat="1" x14ac:dyDescent="0.25">
      <c r="A281" s="15">
        <v>192</v>
      </c>
      <c r="B281" s="15">
        <v>381146</v>
      </c>
      <c r="C281" s="16" t="s">
        <v>318</v>
      </c>
      <c r="D281" s="45"/>
      <c r="E281" s="185"/>
      <c r="F281" s="185"/>
      <c r="G281" s="42"/>
      <c r="H281" s="42"/>
      <c r="I281" s="42"/>
      <c r="J281" s="8">
        <f t="shared" si="127"/>
        <v>0</v>
      </c>
      <c r="K281" s="98">
        <f t="shared" si="126"/>
        <v>0</v>
      </c>
      <c r="L281" s="103">
        <v>21</v>
      </c>
      <c r="M281" s="77">
        <v>21</v>
      </c>
      <c r="N281" s="76">
        <v>21</v>
      </c>
      <c r="O281" s="76">
        <v>21</v>
      </c>
      <c r="P281" s="102">
        <v>21</v>
      </c>
      <c r="Q281" s="74" t="s">
        <v>563</v>
      </c>
      <c r="R281" s="74" t="s">
        <v>563</v>
      </c>
      <c r="S281" s="74" t="s">
        <v>563</v>
      </c>
      <c r="T281" s="74" t="s">
        <v>563</v>
      </c>
      <c r="U281" s="74" t="s">
        <v>563</v>
      </c>
    </row>
    <row r="282" spans="1:23" s="43" customFormat="1" x14ac:dyDescent="0.25">
      <c r="A282" s="15">
        <v>224</v>
      </c>
      <c r="B282" s="15">
        <v>3811910</v>
      </c>
      <c r="C282" s="16" t="s">
        <v>347</v>
      </c>
      <c r="D282" s="45"/>
      <c r="E282" s="185"/>
      <c r="F282" s="185"/>
      <c r="G282" s="42"/>
      <c r="H282" s="42"/>
      <c r="I282" s="42"/>
      <c r="J282" s="8">
        <f t="shared" si="127"/>
        <v>0</v>
      </c>
      <c r="K282" s="98">
        <f t="shared" si="126"/>
        <v>0</v>
      </c>
      <c r="L282" s="103">
        <v>21</v>
      </c>
      <c r="M282" s="77">
        <v>21</v>
      </c>
      <c r="N282" s="76">
        <v>21</v>
      </c>
      <c r="O282" s="76">
        <v>21</v>
      </c>
      <c r="P282" s="102">
        <v>21</v>
      </c>
      <c r="Q282" s="74"/>
      <c r="R282" s="74"/>
      <c r="S282" s="74"/>
      <c r="T282" s="113"/>
      <c r="U282" s="113"/>
    </row>
    <row r="283" spans="1:23" s="43" customFormat="1" x14ac:dyDescent="0.25">
      <c r="A283" s="37" t="s">
        <v>320</v>
      </c>
      <c r="B283" s="37">
        <v>38115</v>
      </c>
      <c r="C283" s="38" t="s">
        <v>321</v>
      </c>
      <c r="D283" s="184">
        <f t="shared" ref="D283:I283" si="136">SUM(D284:D299)</f>
        <v>0</v>
      </c>
      <c r="E283" s="184">
        <f t="shared" ref="E283:F283" si="137">SUM(E284:E299)</f>
        <v>47235.31</v>
      </c>
      <c r="F283" s="184">
        <f t="shared" si="137"/>
        <v>94271.45</v>
      </c>
      <c r="G283" s="39">
        <f t="shared" si="136"/>
        <v>90000</v>
      </c>
      <c r="H283" s="39">
        <f t="shared" si="136"/>
        <v>95000</v>
      </c>
      <c r="I283" s="39">
        <f t="shared" si="136"/>
        <v>94271.45</v>
      </c>
      <c r="J283" s="8">
        <f t="shared" si="127"/>
        <v>201.12072938655427</v>
      </c>
      <c r="K283" s="98">
        <f t="shared" si="126"/>
        <v>105.55555555555556</v>
      </c>
    </row>
    <row r="284" spans="1:23" s="43" customFormat="1" x14ac:dyDescent="0.25">
      <c r="A284" s="15"/>
      <c r="B284" s="15">
        <v>381150</v>
      </c>
      <c r="C284" s="16" t="s">
        <v>322</v>
      </c>
      <c r="D284" s="45"/>
      <c r="E284" s="185"/>
      <c r="F284" s="185"/>
      <c r="G284" s="42">
        <v>90000</v>
      </c>
      <c r="H284" s="42">
        <v>95000</v>
      </c>
      <c r="I284" s="42"/>
      <c r="J284" s="8">
        <f t="shared" si="127"/>
        <v>0</v>
      </c>
      <c r="K284" s="98">
        <f t="shared" si="126"/>
        <v>105.55555555555556</v>
      </c>
      <c r="L284" s="103">
        <v>21</v>
      </c>
      <c r="M284" s="77">
        <v>21</v>
      </c>
      <c r="N284" s="76">
        <v>21</v>
      </c>
      <c r="O284" s="76">
        <v>21</v>
      </c>
      <c r="P284" s="102">
        <v>21</v>
      </c>
      <c r="Q284" s="74" t="s">
        <v>669</v>
      </c>
      <c r="R284" s="74" t="s">
        <v>669</v>
      </c>
      <c r="S284" s="74" t="s">
        <v>669</v>
      </c>
      <c r="T284" s="113" t="s">
        <v>669</v>
      </c>
      <c r="U284" s="113" t="s">
        <v>669</v>
      </c>
    </row>
    <row r="285" spans="1:23" s="43" customFormat="1" x14ac:dyDescent="0.25">
      <c r="A285" s="15">
        <v>196</v>
      </c>
      <c r="B285" s="15">
        <v>381151</v>
      </c>
      <c r="C285" s="16" t="s">
        <v>323</v>
      </c>
      <c r="D285" s="45"/>
      <c r="E285" s="185">
        <v>12780</v>
      </c>
      <c r="F285" s="185">
        <v>26753.65</v>
      </c>
      <c r="G285" s="42"/>
      <c r="H285" s="42"/>
      <c r="I285" s="42">
        <v>26753.65</v>
      </c>
      <c r="J285" s="8">
        <f t="shared" si="127"/>
        <v>0</v>
      </c>
      <c r="K285" s="98">
        <f t="shared" si="126"/>
        <v>0</v>
      </c>
      <c r="L285" s="103">
        <v>21</v>
      </c>
      <c r="M285" s="77">
        <v>21</v>
      </c>
      <c r="N285" s="76">
        <v>21</v>
      </c>
      <c r="O285" s="76">
        <v>21</v>
      </c>
      <c r="P285" s="102">
        <v>21</v>
      </c>
      <c r="Q285" s="74" t="s">
        <v>669</v>
      </c>
      <c r="R285" s="74" t="s">
        <v>669</v>
      </c>
      <c r="S285" s="74" t="s">
        <v>669</v>
      </c>
      <c r="T285" s="113" t="s">
        <v>669</v>
      </c>
      <c r="U285" s="113" t="s">
        <v>669</v>
      </c>
    </row>
    <row r="286" spans="1:23" s="43" customFormat="1" x14ac:dyDescent="0.25">
      <c r="A286" s="15">
        <v>197</v>
      </c>
      <c r="B286" s="15">
        <v>381152</v>
      </c>
      <c r="C286" s="16" t="s">
        <v>324</v>
      </c>
      <c r="D286" s="45"/>
      <c r="E286" s="185">
        <v>11791.63</v>
      </c>
      <c r="F286" s="185">
        <v>23878.400000000001</v>
      </c>
      <c r="G286" s="42"/>
      <c r="H286" s="42"/>
      <c r="I286" s="42">
        <v>23878.400000000001</v>
      </c>
      <c r="J286" s="8">
        <f t="shared" si="127"/>
        <v>0</v>
      </c>
      <c r="K286" s="98">
        <f t="shared" si="126"/>
        <v>0</v>
      </c>
      <c r="L286" s="103">
        <v>21</v>
      </c>
      <c r="M286" s="77">
        <v>21</v>
      </c>
      <c r="N286" s="76">
        <v>21</v>
      </c>
      <c r="O286" s="76">
        <v>21</v>
      </c>
      <c r="P286" s="102">
        <v>21</v>
      </c>
      <c r="Q286" s="74" t="s">
        <v>669</v>
      </c>
      <c r="R286" s="74" t="s">
        <v>669</v>
      </c>
      <c r="S286" s="74" t="s">
        <v>669</v>
      </c>
      <c r="T286" s="113" t="s">
        <v>669</v>
      </c>
      <c r="U286" s="113" t="s">
        <v>669</v>
      </c>
    </row>
    <row r="287" spans="1:23" s="43" customFormat="1" x14ac:dyDescent="0.25">
      <c r="A287" s="15">
        <v>198</v>
      </c>
      <c r="B287" s="15">
        <v>381153</v>
      </c>
      <c r="C287" s="16" t="s">
        <v>325</v>
      </c>
      <c r="D287" s="45"/>
      <c r="E287" s="185">
        <v>4250</v>
      </c>
      <c r="F287" s="185">
        <v>8500</v>
      </c>
      <c r="G287" s="42"/>
      <c r="H287" s="42"/>
      <c r="I287" s="42">
        <v>8500</v>
      </c>
      <c r="J287" s="8">
        <f t="shared" si="127"/>
        <v>0</v>
      </c>
      <c r="K287" s="98">
        <f t="shared" si="126"/>
        <v>0</v>
      </c>
      <c r="L287" s="103">
        <v>21</v>
      </c>
      <c r="M287" s="77">
        <v>21</v>
      </c>
      <c r="N287" s="76">
        <v>21</v>
      </c>
      <c r="O287" s="76">
        <v>21</v>
      </c>
      <c r="P287" s="102">
        <v>21</v>
      </c>
      <c r="Q287" s="74" t="s">
        <v>669</v>
      </c>
      <c r="R287" s="74" t="s">
        <v>669</v>
      </c>
      <c r="S287" s="74" t="s">
        <v>669</v>
      </c>
      <c r="T287" s="113" t="s">
        <v>669</v>
      </c>
      <c r="U287" s="113" t="s">
        <v>669</v>
      </c>
    </row>
    <row r="288" spans="1:23" s="43" customFormat="1" x14ac:dyDescent="0.25">
      <c r="A288" s="15">
        <v>199</v>
      </c>
      <c r="B288" s="15">
        <v>381154</v>
      </c>
      <c r="C288" s="16" t="s">
        <v>326</v>
      </c>
      <c r="D288" s="45"/>
      <c r="E288" s="185">
        <v>2500</v>
      </c>
      <c r="F288" s="185">
        <v>5000</v>
      </c>
      <c r="G288" s="42"/>
      <c r="H288" s="42"/>
      <c r="I288" s="42">
        <v>5000</v>
      </c>
      <c r="J288" s="8">
        <f t="shared" si="127"/>
        <v>0</v>
      </c>
      <c r="K288" s="98">
        <f t="shared" si="126"/>
        <v>0</v>
      </c>
      <c r="L288" s="103">
        <v>21</v>
      </c>
      <c r="M288" s="77">
        <v>21</v>
      </c>
      <c r="N288" s="76">
        <v>21</v>
      </c>
      <c r="O288" s="76">
        <v>21</v>
      </c>
      <c r="P288" s="102">
        <v>21</v>
      </c>
      <c r="Q288" s="74" t="s">
        <v>669</v>
      </c>
      <c r="R288" s="74" t="s">
        <v>669</v>
      </c>
      <c r="S288" s="74" t="s">
        <v>669</v>
      </c>
      <c r="T288" s="113" t="s">
        <v>669</v>
      </c>
      <c r="U288" s="113" t="s">
        <v>669</v>
      </c>
    </row>
    <row r="289" spans="1:21" s="43" customFormat="1" x14ac:dyDescent="0.25">
      <c r="A289" s="262"/>
      <c r="B289" s="15">
        <v>381155</v>
      </c>
      <c r="C289" s="16" t="s">
        <v>991</v>
      </c>
      <c r="D289" s="45"/>
      <c r="E289" s="185">
        <v>335</v>
      </c>
      <c r="F289" s="185">
        <v>462.34</v>
      </c>
      <c r="G289" s="42"/>
      <c r="H289" s="42"/>
      <c r="I289" s="42">
        <v>462.34</v>
      </c>
      <c r="J289" s="17"/>
      <c r="K289" s="131"/>
      <c r="L289" s="114">
        <v>21</v>
      </c>
      <c r="M289" s="115">
        <v>21</v>
      </c>
      <c r="N289" s="116">
        <v>21</v>
      </c>
      <c r="O289" s="116">
        <v>21</v>
      </c>
      <c r="P289" s="117">
        <v>21</v>
      </c>
      <c r="Q289" s="118" t="s">
        <v>669</v>
      </c>
      <c r="R289" s="118" t="s">
        <v>669</v>
      </c>
      <c r="S289" s="118" t="s">
        <v>669</v>
      </c>
      <c r="T289" s="113" t="s">
        <v>669</v>
      </c>
      <c r="U289" s="113" t="s">
        <v>669</v>
      </c>
    </row>
    <row r="290" spans="1:21" s="43" customFormat="1" x14ac:dyDescent="0.25">
      <c r="A290" s="15">
        <v>201</v>
      </c>
      <c r="B290" s="15">
        <v>381156</v>
      </c>
      <c r="C290" s="16" t="s">
        <v>327</v>
      </c>
      <c r="D290" s="45"/>
      <c r="E290" s="185">
        <v>2250</v>
      </c>
      <c r="F290" s="185">
        <v>4500</v>
      </c>
      <c r="G290" s="42"/>
      <c r="H290" s="42"/>
      <c r="I290" s="42">
        <v>4500</v>
      </c>
      <c r="J290" s="8">
        <f t="shared" si="127"/>
        <v>0</v>
      </c>
      <c r="K290" s="98">
        <f t="shared" si="126"/>
        <v>0</v>
      </c>
      <c r="L290" s="103">
        <v>21</v>
      </c>
      <c r="M290" s="77">
        <v>21</v>
      </c>
      <c r="N290" s="76">
        <v>21</v>
      </c>
      <c r="O290" s="76">
        <v>21</v>
      </c>
      <c r="P290" s="102">
        <v>21</v>
      </c>
      <c r="Q290" s="74" t="s">
        <v>669</v>
      </c>
      <c r="R290" s="74" t="s">
        <v>669</v>
      </c>
      <c r="S290" s="74" t="s">
        <v>669</v>
      </c>
      <c r="T290" s="113" t="s">
        <v>669</v>
      </c>
      <c r="U290" s="113" t="s">
        <v>669</v>
      </c>
    </row>
    <row r="291" spans="1:21" s="43" customFormat="1" x14ac:dyDescent="0.25">
      <c r="A291" s="15">
        <v>202</v>
      </c>
      <c r="B291" s="15">
        <v>381157</v>
      </c>
      <c r="C291" s="16" t="s">
        <v>328</v>
      </c>
      <c r="D291" s="45"/>
      <c r="E291" s="185">
        <v>4679.0200000000004</v>
      </c>
      <c r="F291" s="185">
        <v>9621</v>
      </c>
      <c r="G291" s="42"/>
      <c r="H291" s="42"/>
      <c r="I291" s="42">
        <v>9621</v>
      </c>
      <c r="J291" s="8">
        <f t="shared" si="127"/>
        <v>0</v>
      </c>
      <c r="K291" s="98">
        <f t="shared" si="126"/>
        <v>0</v>
      </c>
      <c r="L291" s="103">
        <v>21</v>
      </c>
      <c r="M291" s="77">
        <v>21</v>
      </c>
      <c r="N291" s="76">
        <v>21</v>
      </c>
      <c r="O291" s="76">
        <v>21</v>
      </c>
      <c r="P291" s="102">
        <v>21</v>
      </c>
      <c r="Q291" s="74" t="s">
        <v>669</v>
      </c>
      <c r="R291" s="74" t="s">
        <v>669</v>
      </c>
      <c r="S291" s="74" t="s">
        <v>669</v>
      </c>
      <c r="T291" s="113" t="s">
        <v>669</v>
      </c>
      <c r="U291" s="113" t="s">
        <v>669</v>
      </c>
    </row>
    <row r="292" spans="1:21" s="43" customFormat="1" x14ac:dyDescent="0.25">
      <c r="A292" s="15"/>
      <c r="B292" s="15">
        <v>3811512</v>
      </c>
      <c r="C292" s="16" t="s">
        <v>332</v>
      </c>
      <c r="D292" s="45"/>
      <c r="E292" s="185">
        <v>2100</v>
      </c>
      <c r="F292" s="185">
        <v>3000</v>
      </c>
      <c r="G292" s="42"/>
      <c r="H292" s="42"/>
      <c r="I292" s="42">
        <v>3000</v>
      </c>
      <c r="J292" s="8">
        <f t="shared" si="127"/>
        <v>0</v>
      </c>
      <c r="K292" s="98"/>
      <c r="L292" s="103">
        <v>21</v>
      </c>
      <c r="M292" s="77">
        <v>21</v>
      </c>
      <c r="N292" s="76">
        <v>21</v>
      </c>
      <c r="O292" s="76">
        <v>21</v>
      </c>
      <c r="P292" s="102">
        <v>21</v>
      </c>
      <c r="Q292" s="74" t="s">
        <v>669</v>
      </c>
      <c r="R292" s="74" t="s">
        <v>669</v>
      </c>
      <c r="S292" s="74" t="s">
        <v>669</v>
      </c>
      <c r="T292" s="113" t="s">
        <v>669</v>
      </c>
      <c r="U292" s="113" t="s">
        <v>669</v>
      </c>
    </row>
    <row r="293" spans="1:21" s="43" customFormat="1" x14ac:dyDescent="0.25">
      <c r="A293" s="15"/>
      <c r="B293" s="15">
        <v>3811513</v>
      </c>
      <c r="C293" s="16" t="s">
        <v>333</v>
      </c>
      <c r="D293" s="45"/>
      <c r="E293" s="185">
        <v>1500</v>
      </c>
      <c r="F293" s="185">
        <v>3000</v>
      </c>
      <c r="G293" s="42"/>
      <c r="H293" s="42"/>
      <c r="I293" s="42">
        <v>3000</v>
      </c>
      <c r="J293" s="8">
        <f t="shared" si="127"/>
        <v>0</v>
      </c>
      <c r="K293" s="98"/>
      <c r="L293" s="103">
        <v>21</v>
      </c>
      <c r="M293" s="77">
        <v>21</v>
      </c>
      <c r="N293" s="76">
        <v>21</v>
      </c>
      <c r="O293" s="76">
        <v>21</v>
      </c>
      <c r="P293" s="102">
        <v>21</v>
      </c>
      <c r="Q293" s="74" t="s">
        <v>669</v>
      </c>
      <c r="R293" s="74" t="s">
        <v>669</v>
      </c>
      <c r="S293" s="74" t="s">
        <v>669</v>
      </c>
      <c r="T293" s="113" t="s">
        <v>669</v>
      </c>
      <c r="U293" s="113" t="s">
        <v>669</v>
      </c>
    </row>
    <row r="294" spans="1:21" s="43" customFormat="1" x14ac:dyDescent="0.25">
      <c r="A294" s="15"/>
      <c r="B294" s="15">
        <v>3811514</v>
      </c>
      <c r="C294" s="16" t="s">
        <v>334</v>
      </c>
      <c r="D294" s="45"/>
      <c r="E294" s="185">
        <v>1599</v>
      </c>
      <c r="F294" s="185">
        <v>2799</v>
      </c>
      <c r="G294" s="42"/>
      <c r="H294" s="42"/>
      <c r="I294" s="42">
        <v>2799</v>
      </c>
      <c r="J294" s="8">
        <f t="shared" si="127"/>
        <v>0</v>
      </c>
      <c r="K294" s="98"/>
      <c r="L294" s="103">
        <v>21</v>
      </c>
      <c r="M294" s="77">
        <v>21</v>
      </c>
      <c r="N294" s="76">
        <v>21</v>
      </c>
      <c r="O294" s="76">
        <v>21</v>
      </c>
      <c r="P294" s="102">
        <v>21</v>
      </c>
      <c r="Q294" s="74" t="s">
        <v>669</v>
      </c>
      <c r="R294" s="74" t="s">
        <v>669</v>
      </c>
      <c r="S294" s="74" t="s">
        <v>669</v>
      </c>
      <c r="T294" s="113" t="s">
        <v>669</v>
      </c>
      <c r="U294" s="113" t="s">
        <v>669</v>
      </c>
    </row>
    <row r="295" spans="1:21" s="43" customFormat="1" x14ac:dyDescent="0.25">
      <c r="A295" s="15"/>
      <c r="B295" s="15">
        <v>3811517</v>
      </c>
      <c r="C295" s="16" t="s">
        <v>335</v>
      </c>
      <c r="D295" s="45"/>
      <c r="E295" s="185">
        <v>1650</v>
      </c>
      <c r="F295" s="185">
        <v>3300</v>
      </c>
      <c r="G295" s="42"/>
      <c r="H295" s="42"/>
      <c r="I295" s="42">
        <v>3300</v>
      </c>
      <c r="J295" s="8">
        <f t="shared" si="127"/>
        <v>0</v>
      </c>
      <c r="K295" s="98"/>
      <c r="L295" s="103">
        <v>21</v>
      </c>
      <c r="M295" s="77">
        <v>21</v>
      </c>
      <c r="N295" s="76">
        <v>21</v>
      </c>
      <c r="O295" s="76">
        <v>21</v>
      </c>
      <c r="P295" s="102">
        <v>21</v>
      </c>
      <c r="Q295" s="74" t="s">
        <v>669</v>
      </c>
      <c r="R295" s="74" t="s">
        <v>669</v>
      </c>
      <c r="S295" s="74" t="s">
        <v>669</v>
      </c>
      <c r="T295" s="113" t="s">
        <v>669</v>
      </c>
      <c r="U295" s="113" t="s">
        <v>669</v>
      </c>
    </row>
    <row r="296" spans="1:21" s="43" customFormat="1" x14ac:dyDescent="0.25">
      <c r="A296" s="15"/>
      <c r="B296" s="15">
        <v>3811522</v>
      </c>
      <c r="C296" s="16" t="s">
        <v>808</v>
      </c>
      <c r="D296" s="45"/>
      <c r="E296" s="185"/>
      <c r="F296" s="185"/>
      <c r="G296" s="42"/>
      <c r="H296" s="42"/>
      <c r="I296" s="42"/>
      <c r="J296" s="8">
        <f t="shared" si="127"/>
        <v>0</v>
      </c>
      <c r="K296" s="98"/>
      <c r="L296" s="103">
        <v>21</v>
      </c>
      <c r="M296" s="77">
        <v>21</v>
      </c>
      <c r="N296" s="76">
        <v>21</v>
      </c>
      <c r="O296" s="76">
        <v>21</v>
      </c>
      <c r="P296" s="102">
        <v>21</v>
      </c>
      <c r="Q296" s="74" t="s">
        <v>669</v>
      </c>
      <c r="R296" s="74" t="s">
        <v>669</v>
      </c>
      <c r="S296" s="74" t="s">
        <v>669</v>
      </c>
      <c r="T296" s="113" t="s">
        <v>669</v>
      </c>
      <c r="U296" s="113" t="s">
        <v>669</v>
      </c>
    </row>
    <row r="297" spans="1:21" s="254" customFormat="1" x14ac:dyDescent="0.25">
      <c r="A297" s="243"/>
      <c r="B297" s="244">
        <v>3811527</v>
      </c>
      <c r="C297" s="245" t="s">
        <v>888</v>
      </c>
      <c r="D297" s="246"/>
      <c r="E297" s="185">
        <v>500</v>
      </c>
      <c r="F297" s="185">
        <v>652.27</v>
      </c>
      <c r="G297" s="42"/>
      <c r="H297" s="42"/>
      <c r="I297" s="42">
        <v>652.27</v>
      </c>
      <c r="J297" s="182"/>
      <c r="K297" s="255"/>
      <c r="L297" s="103">
        <v>21</v>
      </c>
      <c r="M297" s="77">
        <v>21</v>
      </c>
      <c r="N297" s="76">
        <v>21</v>
      </c>
      <c r="O297" s="76">
        <v>21</v>
      </c>
      <c r="P297" s="102">
        <v>21</v>
      </c>
      <c r="Q297" s="74" t="s">
        <v>669</v>
      </c>
      <c r="R297" s="74" t="s">
        <v>669</v>
      </c>
      <c r="S297" s="74" t="s">
        <v>669</v>
      </c>
      <c r="T297" s="113" t="s">
        <v>669</v>
      </c>
      <c r="U297" s="113" t="s">
        <v>669</v>
      </c>
    </row>
    <row r="298" spans="1:21" s="254" customFormat="1" x14ac:dyDescent="0.25">
      <c r="A298" s="243"/>
      <c r="B298" s="244">
        <v>3811528</v>
      </c>
      <c r="C298" s="245" t="s">
        <v>889</v>
      </c>
      <c r="D298" s="246"/>
      <c r="E298" s="185">
        <v>965.66</v>
      </c>
      <c r="F298" s="185">
        <v>2134.79</v>
      </c>
      <c r="G298" s="42"/>
      <c r="H298" s="42"/>
      <c r="I298" s="42">
        <v>2134.79</v>
      </c>
      <c r="J298" s="182"/>
      <c r="K298" s="255"/>
      <c r="L298" s="248">
        <v>21</v>
      </c>
      <c r="M298" s="249">
        <v>21</v>
      </c>
      <c r="N298" s="250">
        <v>21</v>
      </c>
      <c r="O298" s="250">
        <v>21</v>
      </c>
      <c r="P298" s="251">
        <v>21</v>
      </c>
      <c r="Q298" s="252" t="s">
        <v>669</v>
      </c>
      <c r="R298" s="252" t="s">
        <v>669</v>
      </c>
      <c r="S298" s="252" t="s">
        <v>669</v>
      </c>
      <c r="T298" s="253" t="s">
        <v>669</v>
      </c>
      <c r="U298" s="253" t="s">
        <v>669</v>
      </c>
    </row>
    <row r="299" spans="1:21" s="254" customFormat="1" x14ac:dyDescent="0.25">
      <c r="A299" s="244"/>
      <c r="B299" s="244">
        <v>3811531</v>
      </c>
      <c r="C299" s="245" t="s">
        <v>944</v>
      </c>
      <c r="D299" s="246"/>
      <c r="E299" s="185">
        <v>335</v>
      </c>
      <c r="F299" s="185">
        <v>670</v>
      </c>
      <c r="G299" s="42"/>
      <c r="H299" s="42"/>
      <c r="I299" s="42">
        <v>670</v>
      </c>
      <c r="J299" s="182"/>
      <c r="K299" s="255"/>
      <c r="L299" s="248">
        <v>21</v>
      </c>
      <c r="M299" s="249">
        <v>21</v>
      </c>
      <c r="N299" s="250">
        <v>21</v>
      </c>
      <c r="O299" s="250">
        <v>21</v>
      </c>
      <c r="P299" s="251">
        <v>21</v>
      </c>
      <c r="Q299" s="252" t="s">
        <v>669</v>
      </c>
      <c r="R299" s="252" t="s">
        <v>669</v>
      </c>
      <c r="S299" s="252" t="s">
        <v>669</v>
      </c>
      <c r="T299" s="253" t="s">
        <v>669</v>
      </c>
      <c r="U299" s="253" t="s">
        <v>669</v>
      </c>
    </row>
    <row r="300" spans="1:21" s="43" customFormat="1" x14ac:dyDescent="0.25">
      <c r="A300" s="37"/>
      <c r="B300" s="37">
        <v>38114</v>
      </c>
      <c r="C300" s="38" t="s">
        <v>553</v>
      </c>
      <c r="D300" s="47">
        <f t="shared" ref="D300:I300" si="138">SUM(D301:D315)</f>
        <v>0</v>
      </c>
      <c r="E300" s="191">
        <f t="shared" ref="E300:F300" si="139">SUM(E301:E315)</f>
        <v>23648.690000000002</v>
      </c>
      <c r="F300" s="191">
        <f t="shared" si="139"/>
        <v>37258.910000000003</v>
      </c>
      <c r="G300" s="47">
        <f t="shared" si="138"/>
        <v>38500</v>
      </c>
      <c r="H300" s="47">
        <f t="shared" si="138"/>
        <v>44500</v>
      </c>
      <c r="I300" s="47">
        <f t="shared" si="138"/>
        <v>37258.910000000003</v>
      </c>
      <c r="J300" s="39"/>
      <c r="K300" s="99"/>
      <c r="L300" s="248"/>
      <c r="M300" s="249"/>
      <c r="N300" s="250"/>
      <c r="O300" s="250"/>
      <c r="P300" s="251"/>
      <c r="Q300" s="252"/>
      <c r="R300" s="252"/>
      <c r="S300" s="252"/>
      <c r="T300" s="253"/>
      <c r="U300" s="253"/>
    </row>
    <row r="301" spans="1:21" s="43" customFormat="1" x14ac:dyDescent="0.25">
      <c r="A301" s="15">
        <v>203</v>
      </c>
      <c r="B301" s="15">
        <v>381158</v>
      </c>
      <c r="C301" s="16" t="s">
        <v>329</v>
      </c>
      <c r="D301" s="45"/>
      <c r="E301" s="185">
        <v>1327.23</v>
      </c>
      <c r="F301" s="185">
        <v>1327.23</v>
      </c>
      <c r="G301" s="42"/>
      <c r="H301" s="42"/>
      <c r="I301" s="42">
        <v>1327.23</v>
      </c>
      <c r="J301" s="8">
        <f>IFERROR(SUM(H301/E301),0)*100</f>
        <v>0</v>
      </c>
      <c r="K301" s="98">
        <f t="shared" si="126"/>
        <v>0</v>
      </c>
      <c r="L301" s="103">
        <v>21</v>
      </c>
      <c r="M301" s="77">
        <v>21</v>
      </c>
      <c r="N301" s="76">
        <v>21</v>
      </c>
      <c r="O301" s="76">
        <v>21</v>
      </c>
      <c r="P301" s="102">
        <v>21</v>
      </c>
      <c r="Q301" s="74" t="s">
        <v>669</v>
      </c>
      <c r="R301" s="74" t="s">
        <v>669</v>
      </c>
      <c r="S301" s="74" t="s">
        <v>669</v>
      </c>
      <c r="T301" s="113" t="s">
        <v>669</v>
      </c>
      <c r="U301" s="113" t="s">
        <v>669</v>
      </c>
    </row>
    <row r="302" spans="1:21" s="43" customFormat="1" x14ac:dyDescent="0.25">
      <c r="A302" s="15">
        <v>204</v>
      </c>
      <c r="B302" s="15">
        <v>381159</v>
      </c>
      <c r="C302" s="16" t="s">
        <v>330</v>
      </c>
      <c r="D302" s="45"/>
      <c r="E302" s="185">
        <v>2303.58</v>
      </c>
      <c r="F302" s="185">
        <v>2303.58</v>
      </c>
      <c r="G302" s="42"/>
      <c r="H302" s="42"/>
      <c r="I302" s="42">
        <v>2303.58</v>
      </c>
      <c r="J302" s="8">
        <f>IFERROR(SUM(H302/E302),0)*100</f>
        <v>0</v>
      </c>
      <c r="K302" s="98">
        <f t="shared" si="126"/>
        <v>0</v>
      </c>
      <c r="L302" s="103">
        <v>21</v>
      </c>
      <c r="M302" s="77">
        <v>21</v>
      </c>
      <c r="N302" s="76">
        <v>21</v>
      </c>
      <c r="O302" s="76">
        <v>21</v>
      </c>
      <c r="P302" s="102">
        <v>21</v>
      </c>
      <c r="Q302" s="74" t="s">
        <v>669</v>
      </c>
      <c r="R302" s="74" t="s">
        <v>669</v>
      </c>
      <c r="S302" s="74" t="s">
        <v>669</v>
      </c>
      <c r="T302" s="113" t="s">
        <v>669</v>
      </c>
      <c r="U302" s="113" t="s">
        <v>669</v>
      </c>
    </row>
    <row r="303" spans="1:21" s="43" customFormat="1" x14ac:dyDescent="0.25">
      <c r="A303" s="15">
        <v>205</v>
      </c>
      <c r="B303" s="15">
        <v>3811510</v>
      </c>
      <c r="C303" s="16" t="s">
        <v>331</v>
      </c>
      <c r="D303" s="45"/>
      <c r="E303" s="185">
        <v>1327.23</v>
      </c>
      <c r="F303" s="185">
        <v>1327.23</v>
      </c>
      <c r="G303" s="42">
        <v>4000</v>
      </c>
      <c r="H303" s="42">
        <v>9000</v>
      </c>
      <c r="I303" s="42">
        <v>1327.23</v>
      </c>
      <c r="J303" s="8">
        <f>IFERROR(SUM(H303/E303),0)*100</f>
        <v>678.10402115684542</v>
      </c>
      <c r="K303" s="98">
        <f t="shared" si="126"/>
        <v>225</v>
      </c>
      <c r="L303" s="103">
        <v>21</v>
      </c>
      <c r="M303" s="77">
        <v>21</v>
      </c>
      <c r="N303" s="76">
        <v>21</v>
      </c>
      <c r="O303" s="76">
        <v>21</v>
      </c>
      <c r="P303" s="102">
        <v>21</v>
      </c>
      <c r="Q303" s="74" t="s">
        <v>669</v>
      </c>
      <c r="R303" s="74" t="s">
        <v>669</v>
      </c>
      <c r="S303" s="74" t="s">
        <v>669</v>
      </c>
      <c r="T303" s="113" t="s">
        <v>669</v>
      </c>
      <c r="U303" s="113" t="s">
        <v>669</v>
      </c>
    </row>
    <row r="304" spans="1:21" s="43" customFormat="1" x14ac:dyDescent="0.25">
      <c r="A304" s="15"/>
      <c r="B304" s="15">
        <v>3811525</v>
      </c>
      <c r="C304" s="16" t="s">
        <v>854</v>
      </c>
      <c r="D304" s="45"/>
      <c r="E304" s="185"/>
      <c r="F304" s="185"/>
      <c r="G304" s="42"/>
      <c r="H304" s="42"/>
      <c r="I304" s="42"/>
      <c r="J304" s="8"/>
      <c r="K304" s="98"/>
      <c r="L304" s="103"/>
      <c r="M304" s="77"/>
      <c r="N304" s="76"/>
      <c r="O304" s="76"/>
      <c r="P304" s="102"/>
      <c r="Q304" s="74"/>
      <c r="R304" s="74"/>
      <c r="S304" s="74"/>
      <c r="T304" s="113"/>
      <c r="U304" s="113"/>
    </row>
    <row r="305" spans="1:23" s="43" customFormat="1" x14ac:dyDescent="0.25">
      <c r="A305" s="15"/>
      <c r="B305" s="15">
        <v>3811524</v>
      </c>
      <c r="C305" s="16" t="s">
        <v>809</v>
      </c>
      <c r="D305" s="45"/>
      <c r="E305" s="185">
        <v>335</v>
      </c>
      <c r="F305" s="185">
        <v>670</v>
      </c>
      <c r="G305" s="42"/>
      <c r="H305" s="42"/>
      <c r="I305" s="42">
        <v>670</v>
      </c>
      <c r="J305" s="8">
        <f>IFERROR(SUM(H305/E305),0)*100</f>
        <v>0</v>
      </c>
      <c r="K305" s="98"/>
      <c r="L305" s="103">
        <v>21</v>
      </c>
      <c r="M305" s="77">
        <v>21</v>
      </c>
      <c r="N305" s="76">
        <v>21</v>
      </c>
      <c r="O305" s="76">
        <v>21</v>
      </c>
      <c r="P305" s="102">
        <v>21</v>
      </c>
      <c r="Q305" s="74" t="s">
        <v>669</v>
      </c>
      <c r="R305" s="74" t="s">
        <v>669</v>
      </c>
      <c r="S305" s="74" t="s">
        <v>669</v>
      </c>
      <c r="T305" s="113" t="s">
        <v>669</v>
      </c>
      <c r="U305" s="113" t="s">
        <v>669</v>
      </c>
    </row>
    <row r="306" spans="1:23" s="43" customFormat="1" x14ac:dyDescent="0.25">
      <c r="A306" s="262"/>
      <c r="B306" s="15">
        <v>3811532</v>
      </c>
      <c r="C306" s="16" t="s">
        <v>990</v>
      </c>
      <c r="D306" s="45"/>
      <c r="E306" s="185">
        <v>402</v>
      </c>
      <c r="F306" s="185">
        <v>670</v>
      </c>
      <c r="G306" s="42"/>
      <c r="H306" s="42"/>
      <c r="I306" s="42">
        <v>670</v>
      </c>
      <c r="J306" s="17"/>
      <c r="K306" s="131"/>
      <c r="L306" s="114">
        <v>21</v>
      </c>
      <c r="M306" s="115">
        <v>21</v>
      </c>
      <c r="N306" s="116">
        <v>21</v>
      </c>
      <c r="O306" s="116">
        <v>21</v>
      </c>
      <c r="P306" s="117">
        <v>21</v>
      </c>
      <c r="Q306" s="118" t="s">
        <v>669</v>
      </c>
      <c r="R306" s="118" t="s">
        <v>669</v>
      </c>
      <c r="S306" s="118" t="s">
        <v>669</v>
      </c>
      <c r="T306" s="113" t="s">
        <v>669</v>
      </c>
      <c r="U306" s="113" t="s">
        <v>669</v>
      </c>
    </row>
    <row r="307" spans="1:23" s="43" customFormat="1" x14ac:dyDescent="0.25">
      <c r="A307" s="15"/>
      <c r="B307" s="15">
        <v>381197</v>
      </c>
      <c r="C307" s="16" t="s">
        <v>344</v>
      </c>
      <c r="D307" s="45"/>
      <c r="E307" s="185">
        <v>1400</v>
      </c>
      <c r="F307" s="185">
        <v>3367</v>
      </c>
      <c r="G307" s="42"/>
      <c r="H307" s="42"/>
      <c r="I307" s="42">
        <v>3367</v>
      </c>
      <c r="J307" s="8"/>
      <c r="K307" s="98"/>
      <c r="L307" s="103">
        <v>21</v>
      </c>
      <c r="M307" s="77">
        <v>21</v>
      </c>
      <c r="N307" s="76">
        <v>21</v>
      </c>
      <c r="O307" s="76">
        <v>21</v>
      </c>
      <c r="P307" s="102">
        <v>21</v>
      </c>
      <c r="Q307" s="74" t="s">
        <v>669</v>
      </c>
      <c r="R307" s="74" t="s">
        <v>669</v>
      </c>
      <c r="S307" s="74" t="s">
        <v>669</v>
      </c>
      <c r="T307" s="113" t="s">
        <v>669</v>
      </c>
      <c r="U307" s="113" t="s">
        <v>669</v>
      </c>
    </row>
    <row r="308" spans="1:23" s="43" customFormat="1" x14ac:dyDescent="0.25">
      <c r="A308" s="15"/>
      <c r="B308" s="15">
        <v>3811913</v>
      </c>
      <c r="C308" s="16" t="s">
        <v>345</v>
      </c>
      <c r="D308" s="45"/>
      <c r="E308" s="185">
        <v>335</v>
      </c>
      <c r="F308" s="185">
        <v>670</v>
      </c>
      <c r="G308" s="42"/>
      <c r="H308" s="42"/>
      <c r="I308" s="42">
        <v>670</v>
      </c>
      <c r="J308" s="8"/>
      <c r="K308" s="98"/>
      <c r="L308" s="103">
        <v>21</v>
      </c>
      <c r="M308" s="77">
        <v>21</v>
      </c>
      <c r="N308" s="76">
        <v>21</v>
      </c>
      <c r="O308" s="76">
        <v>21</v>
      </c>
      <c r="P308" s="102">
        <v>21</v>
      </c>
      <c r="Q308" s="74" t="s">
        <v>669</v>
      </c>
      <c r="R308" s="74" t="s">
        <v>669</v>
      </c>
      <c r="S308" s="74" t="s">
        <v>669</v>
      </c>
      <c r="T308" s="113" t="s">
        <v>669</v>
      </c>
      <c r="U308" s="113" t="s">
        <v>669</v>
      </c>
    </row>
    <row r="309" spans="1:23" s="43" customFormat="1" x14ac:dyDescent="0.25">
      <c r="A309" s="20"/>
      <c r="B309" s="15"/>
      <c r="C309" s="16" t="s">
        <v>862</v>
      </c>
      <c r="D309" s="45"/>
      <c r="E309" s="185"/>
      <c r="F309" s="185"/>
      <c r="G309" s="42"/>
      <c r="H309" s="42"/>
      <c r="I309" s="42"/>
      <c r="J309" s="8"/>
      <c r="K309" s="98"/>
      <c r="L309" s="103">
        <v>21</v>
      </c>
      <c r="M309" s="77">
        <v>21</v>
      </c>
      <c r="N309" s="76">
        <v>21</v>
      </c>
      <c r="O309" s="76">
        <v>21</v>
      </c>
      <c r="P309" s="102">
        <v>21</v>
      </c>
      <c r="Q309" s="74" t="s">
        <v>669</v>
      </c>
      <c r="R309" s="74" t="s">
        <v>669</v>
      </c>
      <c r="S309" s="74" t="s">
        <v>669</v>
      </c>
      <c r="T309" s="113" t="s">
        <v>669</v>
      </c>
      <c r="U309" s="113" t="s">
        <v>669</v>
      </c>
    </row>
    <row r="310" spans="1:23" s="43" customFormat="1" x14ac:dyDescent="0.25">
      <c r="A310" s="20"/>
      <c r="B310" s="15">
        <v>38118</v>
      </c>
      <c r="C310" s="16" t="s">
        <v>863</v>
      </c>
      <c r="D310" s="45"/>
      <c r="E310" s="185">
        <v>13700</v>
      </c>
      <c r="F310" s="185">
        <v>13700</v>
      </c>
      <c r="G310" s="42">
        <v>11000</v>
      </c>
      <c r="H310" s="42">
        <v>16000</v>
      </c>
      <c r="I310" s="42">
        <v>13700</v>
      </c>
      <c r="J310" s="8"/>
      <c r="K310" s="98"/>
      <c r="L310" s="103">
        <v>21</v>
      </c>
      <c r="M310" s="77">
        <v>21</v>
      </c>
      <c r="N310" s="76">
        <v>21</v>
      </c>
      <c r="O310" s="76">
        <v>21</v>
      </c>
      <c r="P310" s="102">
        <v>21</v>
      </c>
      <c r="Q310" s="74" t="s">
        <v>669</v>
      </c>
      <c r="R310" s="74" t="s">
        <v>669</v>
      </c>
      <c r="S310" s="74" t="s">
        <v>669</v>
      </c>
      <c r="T310" s="113" t="s">
        <v>669</v>
      </c>
      <c r="U310" s="113" t="s">
        <v>669</v>
      </c>
    </row>
    <row r="311" spans="1:23" s="43" customFormat="1" x14ac:dyDescent="0.25">
      <c r="A311" s="20"/>
      <c r="B311" s="15">
        <v>3811525</v>
      </c>
      <c r="C311" s="16" t="s">
        <v>854</v>
      </c>
      <c r="D311" s="45"/>
      <c r="E311" s="185"/>
      <c r="F311" s="185"/>
      <c r="G311" s="42">
        <v>10000</v>
      </c>
      <c r="H311" s="42">
        <v>10000</v>
      </c>
      <c r="I311" s="42"/>
      <c r="J311" s="8"/>
      <c r="K311" s="98"/>
      <c r="L311" s="103">
        <v>21</v>
      </c>
      <c r="M311" s="77">
        <v>21</v>
      </c>
      <c r="N311" s="76">
        <v>21</v>
      </c>
      <c r="O311" s="76">
        <v>21</v>
      </c>
      <c r="P311" s="102">
        <v>21</v>
      </c>
      <c r="Q311" s="74" t="s">
        <v>669</v>
      </c>
      <c r="R311" s="74" t="s">
        <v>669</v>
      </c>
      <c r="S311" s="74" t="s">
        <v>669</v>
      </c>
      <c r="T311" s="113" t="s">
        <v>669</v>
      </c>
      <c r="U311" s="113" t="s">
        <v>669</v>
      </c>
    </row>
    <row r="312" spans="1:23" s="43" customFormat="1" x14ac:dyDescent="0.25">
      <c r="A312" s="15"/>
      <c r="B312" s="15">
        <v>3811914</v>
      </c>
      <c r="C312" s="16" t="s">
        <v>346</v>
      </c>
      <c r="D312" s="45"/>
      <c r="E312" s="185">
        <v>1400</v>
      </c>
      <c r="F312" s="185">
        <v>2800</v>
      </c>
      <c r="G312" s="42"/>
      <c r="H312" s="42"/>
      <c r="I312" s="42">
        <v>2800</v>
      </c>
      <c r="J312" s="8"/>
      <c r="K312" s="98"/>
      <c r="L312" s="103">
        <v>21</v>
      </c>
      <c r="M312" s="77">
        <v>21</v>
      </c>
      <c r="N312" s="76">
        <v>21</v>
      </c>
      <c r="O312" s="76">
        <v>21</v>
      </c>
      <c r="P312" s="102">
        <v>21</v>
      </c>
      <c r="Q312" s="74" t="s">
        <v>669</v>
      </c>
      <c r="R312" s="74" t="s">
        <v>669</v>
      </c>
      <c r="S312" s="74" t="s">
        <v>669</v>
      </c>
      <c r="T312" s="113" t="s">
        <v>669</v>
      </c>
      <c r="U312" s="113" t="s">
        <v>669</v>
      </c>
    </row>
    <row r="313" spans="1:23" s="43" customFormat="1" x14ac:dyDescent="0.25">
      <c r="A313" s="15"/>
      <c r="B313" s="15">
        <v>3811519</v>
      </c>
      <c r="C313" s="16" t="s">
        <v>741</v>
      </c>
      <c r="D313" s="45"/>
      <c r="E313" s="185">
        <v>1048.6500000000001</v>
      </c>
      <c r="F313" s="185">
        <v>1574.64</v>
      </c>
      <c r="G313" s="42"/>
      <c r="H313" s="42"/>
      <c r="I313" s="42">
        <v>1574.64</v>
      </c>
      <c r="J313" s="8">
        <f t="shared" ref="J313:J323" si="140">IFERROR(SUM(H313/E313),0)*100</f>
        <v>0</v>
      </c>
      <c r="K313" s="98">
        <f t="shared" si="126"/>
        <v>0</v>
      </c>
      <c r="L313" s="103">
        <v>21</v>
      </c>
      <c r="M313" s="77">
        <v>21</v>
      </c>
      <c r="N313" s="76">
        <v>21</v>
      </c>
      <c r="O313" s="76">
        <v>21</v>
      </c>
      <c r="P313" s="102">
        <v>21</v>
      </c>
      <c r="Q313" s="74" t="s">
        <v>669</v>
      </c>
      <c r="R313" s="74" t="s">
        <v>669</v>
      </c>
      <c r="S313" s="74" t="s">
        <v>669</v>
      </c>
      <c r="T313" s="113" t="s">
        <v>669</v>
      </c>
      <c r="U313" s="113" t="s">
        <v>669</v>
      </c>
    </row>
    <row r="314" spans="1:23" s="43" customFormat="1" x14ac:dyDescent="0.25">
      <c r="A314" s="15"/>
      <c r="B314" s="15">
        <v>3811917</v>
      </c>
      <c r="C314" s="16" t="s">
        <v>742</v>
      </c>
      <c r="D314" s="45"/>
      <c r="E314" s="185">
        <v>70</v>
      </c>
      <c r="F314" s="185">
        <v>2581.48</v>
      </c>
      <c r="G314" s="42">
        <v>7000</v>
      </c>
      <c r="H314" s="42">
        <v>3000</v>
      </c>
      <c r="I314" s="42">
        <v>2581.48</v>
      </c>
      <c r="J314" s="8">
        <f t="shared" si="140"/>
        <v>4285.7142857142853</v>
      </c>
      <c r="K314" s="98">
        <f t="shared" si="126"/>
        <v>42.857142857142854</v>
      </c>
      <c r="L314" s="103">
        <v>21</v>
      </c>
      <c r="M314" s="77">
        <v>21</v>
      </c>
      <c r="N314" s="76">
        <v>21</v>
      </c>
      <c r="O314" s="76">
        <v>21</v>
      </c>
      <c r="P314" s="102">
        <v>21</v>
      </c>
      <c r="Q314" s="74" t="s">
        <v>669</v>
      </c>
      <c r="R314" s="74" t="s">
        <v>669</v>
      </c>
      <c r="S314" s="74" t="s">
        <v>669</v>
      </c>
      <c r="T314" s="113" t="s">
        <v>669</v>
      </c>
      <c r="U314" s="113" t="s">
        <v>669</v>
      </c>
      <c r="V314" s="41"/>
      <c r="W314" s="41"/>
    </row>
    <row r="315" spans="1:23" s="41" customFormat="1" x14ac:dyDescent="0.25">
      <c r="A315" s="15"/>
      <c r="B315" s="15">
        <v>381199</v>
      </c>
      <c r="C315" s="16" t="s">
        <v>404</v>
      </c>
      <c r="D315" s="45"/>
      <c r="E315" s="185"/>
      <c r="F315" s="185">
        <v>6267.75</v>
      </c>
      <c r="G315" s="42">
        <v>6500</v>
      </c>
      <c r="H315" s="42">
        <v>6500</v>
      </c>
      <c r="I315" s="42">
        <v>6267.75</v>
      </c>
      <c r="J315" s="8">
        <f t="shared" si="140"/>
        <v>0</v>
      </c>
      <c r="K315" s="98">
        <f t="shared" si="126"/>
        <v>100</v>
      </c>
      <c r="L315" s="103">
        <v>21</v>
      </c>
      <c r="M315" s="77">
        <v>21</v>
      </c>
      <c r="N315" s="76">
        <v>21</v>
      </c>
      <c r="O315" s="76">
        <v>21</v>
      </c>
      <c r="P315" s="102">
        <v>21</v>
      </c>
      <c r="Q315" s="74" t="s">
        <v>669</v>
      </c>
      <c r="R315" s="74" t="s">
        <v>669</v>
      </c>
      <c r="S315" s="74" t="s">
        <v>669</v>
      </c>
      <c r="T315" s="113" t="s">
        <v>669</v>
      </c>
      <c r="U315" s="113" t="s">
        <v>669</v>
      </c>
      <c r="V315" s="43"/>
      <c r="W315" s="43"/>
    </row>
    <row r="316" spans="1:23" s="43" customFormat="1" x14ac:dyDescent="0.25">
      <c r="A316" s="37"/>
      <c r="B316" s="37">
        <v>38116</v>
      </c>
      <c r="C316" s="38" t="s">
        <v>336</v>
      </c>
      <c r="D316" s="39">
        <f t="shared" ref="D316:I316" si="141">SUM(D317:D318)</f>
        <v>0</v>
      </c>
      <c r="E316" s="184">
        <f>SUM(E317:E318)</f>
        <v>3550</v>
      </c>
      <c r="F316" s="184">
        <f t="shared" ref="F316" si="142">SUM(F317:F318)</f>
        <v>7663.61</v>
      </c>
      <c r="G316" s="39">
        <f t="shared" si="141"/>
        <v>7500</v>
      </c>
      <c r="H316" s="39">
        <f>SUM(H317:H318)</f>
        <v>7700</v>
      </c>
      <c r="I316" s="39">
        <f t="shared" si="141"/>
        <v>7663.61</v>
      </c>
      <c r="J316" s="8">
        <f t="shared" si="140"/>
        <v>216.90140845070425</v>
      </c>
      <c r="K316" s="98">
        <f t="shared" si="126"/>
        <v>102.66666666666666</v>
      </c>
    </row>
    <row r="317" spans="1:23" s="43" customFormat="1" x14ac:dyDescent="0.25">
      <c r="A317" s="15">
        <v>213</v>
      </c>
      <c r="B317" s="15">
        <v>38116</v>
      </c>
      <c r="C317" s="16" t="s">
        <v>337</v>
      </c>
      <c r="D317" s="45"/>
      <c r="E317" s="185">
        <v>3550</v>
      </c>
      <c r="F317" s="185">
        <v>7000</v>
      </c>
      <c r="G317" s="42">
        <v>7000</v>
      </c>
      <c r="H317" s="42">
        <v>7000</v>
      </c>
      <c r="I317" s="42">
        <v>7000</v>
      </c>
      <c r="J317" s="8">
        <f t="shared" si="140"/>
        <v>197.18309859154931</v>
      </c>
      <c r="K317" s="98">
        <f t="shared" si="126"/>
        <v>100</v>
      </c>
      <c r="L317" s="103">
        <v>11</v>
      </c>
      <c r="M317" s="77">
        <v>11</v>
      </c>
      <c r="N317" s="76">
        <v>11</v>
      </c>
      <c r="O317" s="76">
        <v>11</v>
      </c>
      <c r="P317" s="102">
        <v>11</v>
      </c>
      <c r="Q317" s="74" t="s">
        <v>713</v>
      </c>
      <c r="R317" s="74" t="s">
        <v>713</v>
      </c>
      <c r="S317" s="74" t="s">
        <v>713</v>
      </c>
      <c r="T317" s="113" t="s">
        <v>713</v>
      </c>
      <c r="U317" s="113" t="s">
        <v>713</v>
      </c>
    </row>
    <row r="318" spans="1:23" s="43" customFormat="1" x14ac:dyDescent="0.25">
      <c r="A318" s="15"/>
      <c r="B318" s="15">
        <v>381161</v>
      </c>
      <c r="C318" s="16" t="s">
        <v>449</v>
      </c>
      <c r="D318" s="45"/>
      <c r="E318" s="185"/>
      <c r="F318" s="185">
        <v>663.61</v>
      </c>
      <c r="G318" s="42">
        <v>500</v>
      </c>
      <c r="H318" s="42">
        <v>700</v>
      </c>
      <c r="I318" s="42">
        <v>663.61</v>
      </c>
      <c r="J318" s="8">
        <f t="shared" si="140"/>
        <v>0</v>
      </c>
      <c r="K318" s="98">
        <f t="shared" si="126"/>
        <v>140</v>
      </c>
      <c r="L318" s="103">
        <v>11</v>
      </c>
      <c r="M318" s="77">
        <v>11</v>
      </c>
      <c r="N318" s="76">
        <v>11</v>
      </c>
      <c r="O318" s="76">
        <v>11</v>
      </c>
      <c r="P318" s="102">
        <v>11</v>
      </c>
      <c r="Q318" s="74" t="s">
        <v>563</v>
      </c>
      <c r="R318" s="74" t="s">
        <v>563</v>
      </c>
      <c r="S318" s="74" t="s">
        <v>563</v>
      </c>
      <c r="T318" s="113" t="s">
        <v>563</v>
      </c>
      <c r="U318" s="113" t="s">
        <v>563</v>
      </c>
    </row>
    <row r="319" spans="1:23" s="43" customFormat="1" x14ac:dyDescent="0.25">
      <c r="A319" s="37"/>
      <c r="B319" s="37">
        <v>38119</v>
      </c>
      <c r="C319" s="38" t="s">
        <v>787</v>
      </c>
      <c r="D319" s="39">
        <f t="shared" ref="D319:I319" si="143">SUM(D320:D325)</f>
        <v>0</v>
      </c>
      <c r="E319" s="184">
        <f>SUM(E320:E325)</f>
        <v>5585</v>
      </c>
      <c r="F319" s="184">
        <f t="shared" ref="F319" si="144">SUM(F320:F325)</f>
        <v>10580</v>
      </c>
      <c r="G319" s="39">
        <f t="shared" si="143"/>
        <v>10500</v>
      </c>
      <c r="H319" s="39">
        <f>SUM(H320:H325)</f>
        <v>12500</v>
      </c>
      <c r="I319" s="39">
        <f t="shared" si="143"/>
        <v>10580</v>
      </c>
      <c r="J319" s="8">
        <f t="shared" si="140"/>
        <v>223.81378692927484</v>
      </c>
      <c r="K319" s="98">
        <f t="shared" si="126"/>
        <v>119.04761904761905</v>
      </c>
    </row>
    <row r="320" spans="1:23" s="43" customFormat="1" x14ac:dyDescent="0.25">
      <c r="A320" s="15">
        <v>215</v>
      </c>
      <c r="B320" s="15">
        <v>381191</v>
      </c>
      <c r="C320" s="16" t="s">
        <v>338</v>
      </c>
      <c r="D320" s="45"/>
      <c r="E320" s="185">
        <v>2300</v>
      </c>
      <c r="F320" s="185">
        <v>4600</v>
      </c>
      <c r="G320" s="42"/>
      <c r="H320" s="42"/>
      <c r="I320" s="42">
        <v>4600</v>
      </c>
      <c r="J320" s="8">
        <f t="shared" si="140"/>
        <v>0</v>
      </c>
      <c r="K320" s="98">
        <f t="shared" si="126"/>
        <v>0</v>
      </c>
      <c r="L320" s="103">
        <v>11</v>
      </c>
      <c r="M320" s="77">
        <v>11</v>
      </c>
      <c r="N320" s="76">
        <v>11</v>
      </c>
      <c r="O320" s="76">
        <v>11</v>
      </c>
      <c r="P320" s="102">
        <v>11</v>
      </c>
      <c r="Q320" s="74" t="s">
        <v>671</v>
      </c>
      <c r="R320" s="74" t="s">
        <v>671</v>
      </c>
      <c r="S320" s="74" t="s">
        <v>671</v>
      </c>
      <c r="T320" s="113" t="s">
        <v>671</v>
      </c>
      <c r="U320" s="113" t="s">
        <v>671</v>
      </c>
      <c r="V320" s="41"/>
      <c r="W320" s="41"/>
    </row>
    <row r="321" spans="1:23" s="41" customFormat="1" x14ac:dyDescent="0.25">
      <c r="A321" s="15">
        <v>216</v>
      </c>
      <c r="B321" s="15">
        <v>381192</v>
      </c>
      <c r="C321" s="16" t="s">
        <v>339</v>
      </c>
      <c r="D321" s="45"/>
      <c r="E321" s="185">
        <v>2950</v>
      </c>
      <c r="F321" s="185">
        <v>5310</v>
      </c>
      <c r="G321" s="42"/>
      <c r="H321" s="42"/>
      <c r="I321" s="42">
        <v>5310</v>
      </c>
      <c r="J321" s="8">
        <f t="shared" si="140"/>
        <v>0</v>
      </c>
      <c r="K321" s="98">
        <f t="shared" si="126"/>
        <v>0</v>
      </c>
      <c r="L321" s="103">
        <v>11</v>
      </c>
      <c r="M321" s="77">
        <v>11</v>
      </c>
      <c r="N321" s="76">
        <v>11</v>
      </c>
      <c r="O321" s="76">
        <v>11</v>
      </c>
      <c r="P321" s="102">
        <v>11</v>
      </c>
      <c r="Q321" s="74" t="s">
        <v>671</v>
      </c>
      <c r="R321" s="74" t="s">
        <v>671</v>
      </c>
      <c r="S321" s="74" t="s">
        <v>671</v>
      </c>
      <c r="T321" s="113" t="s">
        <v>671</v>
      </c>
      <c r="U321" s="113" t="s">
        <v>671</v>
      </c>
      <c r="V321" s="43"/>
      <c r="W321" s="43"/>
    </row>
    <row r="322" spans="1:23" s="43" customFormat="1" x14ac:dyDescent="0.25">
      <c r="A322" s="15">
        <v>217</v>
      </c>
      <c r="B322" s="15">
        <v>381193</v>
      </c>
      <c r="C322" s="16" t="s">
        <v>340</v>
      </c>
      <c r="D322" s="45"/>
      <c r="E322" s="185"/>
      <c r="F322" s="185"/>
      <c r="G322" s="42"/>
      <c r="H322" s="42"/>
      <c r="I322" s="42"/>
      <c r="J322" s="8">
        <f t="shared" si="140"/>
        <v>0</v>
      </c>
      <c r="K322" s="98">
        <f t="shared" si="126"/>
        <v>0</v>
      </c>
      <c r="L322" s="103">
        <v>11</v>
      </c>
      <c r="M322" s="77">
        <v>11</v>
      </c>
      <c r="N322" s="76">
        <v>11</v>
      </c>
      <c r="O322" s="76">
        <v>11</v>
      </c>
      <c r="P322" s="102">
        <v>11</v>
      </c>
      <c r="Q322" s="74" t="s">
        <v>671</v>
      </c>
      <c r="R322" s="74" t="s">
        <v>671</v>
      </c>
      <c r="S322" s="74" t="s">
        <v>671</v>
      </c>
      <c r="T322" s="113" t="s">
        <v>671</v>
      </c>
      <c r="U322" s="113" t="s">
        <v>671</v>
      </c>
    </row>
    <row r="323" spans="1:23" s="43" customFormat="1" x14ac:dyDescent="0.25">
      <c r="A323" s="15"/>
      <c r="B323" s="15">
        <v>3811916</v>
      </c>
      <c r="C323" s="16" t="s">
        <v>447</v>
      </c>
      <c r="D323" s="45"/>
      <c r="E323" s="185">
        <v>335</v>
      </c>
      <c r="F323" s="185">
        <v>670</v>
      </c>
      <c r="G323" s="42"/>
      <c r="H323" s="42"/>
      <c r="I323" s="42">
        <v>670</v>
      </c>
      <c r="J323" s="8">
        <f t="shared" si="140"/>
        <v>0</v>
      </c>
      <c r="K323" s="98"/>
      <c r="L323" s="103">
        <v>11</v>
      </c>
      <c r="M323" s="77">
        <v>11</v>
      </c>
      <c r="N323" s="76">
        <v>11</v>
      </c>
      <c r="O323" s="76">
        <v>11</v>
      </c>
      <c r="P323" s="102">
        <v>11</v>
      </c>
      <c r="Q323" s="74" t="s">
        <v>671</v>
      </c>
      <c r="R323" s="74" t="s">
        <v>671</v>
      </c>
      <c r="S323" s="74" t="s">
        <v>671</v>
      </c>
      <c r="T323" s="113" t="s">
        <v>671</v>
      </c>
      <c r="U323" s="113" t="s">
        <v>671</v>
      </c>
    </row>
    <row r="324" spans="1:23" s="43" customFormat="1" x14ac:dyDescent="0.25">
      <c r="A324" s="15"/>
      <c r="B324" s="15">
        <v>381149</v>
      </c>
      <c r="C324" s="16" t="s">
        <v>319</v>
      </c>
      <c r="D324" s="45"/>
      <c r="E324" s="185"/>
      <c r="F324" s="185"/>
      <c r="G324" s="42"/>
      <c r="H324" s="42"/>
      <c r="I324" s="42"/>
      <c r="J324" s="8"/>
      <c r="K324" s="98"/>
      <c r="L324" s="103">
        <v>11</v>
      </c>
      <c r="M324" s="77">
        <v>11</v>
      </c>
      <c r="N324" s="76">
        <v>11</v>
      </c>
      <c r="O324" s="76">
        <v>11</v>
      </c>
      <c r="P324" s="102">
        <v>11</v>
      </c>
      <c r="Q324" s="74" t="s">
        <v>671</v>
      </c>
      <c r="R324" s="74" t="s">
        <v>671</v>
      </c>
      <c r="S324" s="74" t="s">
        <v>671</v>
      </c>
      <c r="T324" s="113" t="s">
        <v>671</v>
      </c>
      <c r="U324" s="113" t="s">
        <v>671</v>
      </c>
      <c r="V324" s="41"/>
      <c r="W324" s="41"/>
    </row>
    <row r="325" spans="1:23" s="41" customFormat="1" x14ac:dyDescent="0.25">
      <c r="A325" s="15">
        <v>218</v>
      </c>
      <c r="B325" s="15">
        <v>381195</v>
      </c>
      <c r="C325" s="16" t="s">
        <v>855</v>
      </c>
      <c r="D325" s="45"/>
      <c r="E325" s="185"/>
      <c r="F325" s="185"/>
      <c r="G325" s="42">
        <v>10500</v>
      </c>
      <c r="H325" s="42">
        <v>12500</v>
      </c>
      <c r="I325" s="42"/>
      <c r="J325" s="8">
        <f t="shared" ref="J325:J334" si="145">IFERROR(SUM(H325/E325),0)*100</f>
        <v>0</v>
      </c>
      <c r="K325" s="98">
        <f t="shared" si="126"/>
        <v>119.04761904761905</v>
      </c>
      <c r="L325" s="103">
        <v>11</v>
      </c>
      <c r="M325" s="77">
        <v>11</v>
      </c>
      <c r="N325" s="76">
        <v>11</v>
      </c>
      <c r="O325" s="76">
        <v>11</v>
      </c>
      <c r="P325" s="102">
        <v>11</v>
      </c>
      <c r="Q325" s="74" t="s">
        <v>671</v>
      </c>
      <c r="R325" s="74" t="s">
        <v>671</v>
      </c>
      <c r="S325" s="74" t="s">
        <v>671</v>
      </c>
      <c r="T325" s="113" t="s">
        <v>671</v>
      </c>
      <c r="U325" s="113" t="s">
        <v>671</v>
      </c>
      <c r="V325" s="43"/>
      <c r="W325" s="43"/>
    </row>
    <row r="326" spans="1:23" s="43" customFormat="1" x14ac:dyDescent="0.25">
      <c r="A326" s="37"/>
      <c r="B326" s="37">
        <v>38119</v>
      </c>
      <c r="C326" s="38" t="s">
        <v>341</v>
      </c>
      <c r="D326" s="39">
        <f t="shared" ref="D326:I326" si="146">SUM(D327:D327)</f>
        <v>0</v>
      </c>
      <c r="E326" s="187">
        <f t="shared" si="146"/>
        <v>20338</v>
      </c>
      <c r="F326" s="187">
        <f t="shared" si="146"/>
        <v>32008</v>
      </c>
      <c r="G326" s="40">
        <f t="shared" si="146"/>
        <v>28000</v>
      </c>
      <c r="H326" s="40">
        <f t="shared" si="146"/>
        <v>32100</v>
      </c>
      <c r="I326" s="40">
        <f t="shared" si="146"/>
        <v>32008</v>
      </c>
      <c r="J326" s="8">
        <f t="shared" si="145"/>
        <v>157.8326285770479</v>
      </c>
      <c r="K326" s="98">
        <f t="shared" si="126"/>
        <v>114.64285714285714</v>
      </c>
    </row>
    <row r="327" spans="1:23" s="43" customFormat="1" x14ac:dyDescent="0.25">
      <c r="A327" s="15">
        <v>219</v>
      </c>
      <c r="B327" s="15">
        <v>381194</v>
      </c>
      <c r="C327" s="16" t="s">
        <v>342</v>
      </c>
      <c r="D327" s="45"/>
      <c r="E327" s="185">
        <v>20338</v>
      </c>
      <c r="F327" s="185">
        <v>32008</v>
      </c>
      <c r="G327" s="42">
        <v>28000</v>
      </c>
      <c r="H327" s="42">
        <v>32100</v>
      </c>
      <c r="I327" s="42">
        <v>32008</v>
      </c>
      <c r="J327" s="8">
        <f t="shared" si="145"/>
        <v>157.8326285770479</v>
      </c>
      <c r="K327" s="98">
        <f t="shared" si="126"/>
        <v>114.64285714285714</v>
      </c>
      <c r="L327" s="103">
        <v>11</v>
      </c>
      <c r="M327" s="77">
        <v>11</v>
      </c>
      <c r="N327" s="76">
        <v>11</v>
      </c>
      <c r="O327" s="76">
        <v>11</v>
      </c>
      <c r="P327" s="102">
        <v>11</v>
      </c>
      <c r="Q327" s="74" t="s">
        <v>595</v>
      </c>
      <c r="R327" s="74" t="s">
        <v>595</v>
      </c>
      <c r="S327" s="74" t="s">
        <v>595</v>
      </c>
      <c r="T327" s="113" t="s">
        <v>595</v>
      </c>
      <c r="U327" s="113" t="s">
        <v>595</v>
      </c>
      <c r="V327" s="36"/>
      <c r="W327" s="36"/>
    </row>
    <row r="328" spans="1:23" s="36" customFormat="1" x14ac:dyDescent="0.25">
      <c r="A328" s="37"/>
      <c r="B328" s="37">
        <v>38119</v>
      </c>
      <c r="C328" s="38" t="s">
        <v>343</v>
      </c>
      <c r="D328" s="39">
        <f t="shared" ref="D328:I328" si="147">SUM(D329:D330)</f>
        <v>0</v>
      </c>
      <c r="E328" s="184">
        <f>SUM(E329:E330)</f>
        <v>1232.72</v>
      </c>
      <c r="F328" s="184">
        <f t="shared" ref="F328" si="148">SUM(F329:F330)</f>
        <v>5022.67</v>
      </c>
      <c r="G328" s="39">
        <f t="shared" si="147"/>
        <v>13500</v>
      </c>
      <c r="H328" s="39">
        <f>SUM(H329:H330)</f>
        <v>5500</v>
      </c>
      <c r="I328" s="39">
        <f t="shared" si="147"/>
        <v>5022.67</v>
      </c>
      <c r="J328" s="8">
        <f t="shared" si="145"/>
        <v>446.16782399896169</v>
      </c>
      <c r="K328" s="98">
        <f t="shared" si="126"/>
        <v>40.74074074074074</v>
      </c>
      <c r="L328" s="103"/>
      <c r="M328" s="77"/>
      <c r="N328" s="76"/>
      <c r="O328" s="76"/>
      <c r="P328" s="102"/>
      <c r="Q328" s="74"/>
      <c r="R328" s="74"/>
      <c r="S328" s="74"/>
      <c r="T328" s="111"/>
      <c r="U328" s="111"/>
      <c r="V328" s="41"/>
      <c r="W328" s="41"/>
    </row>
    <row r="329" spans="1:23" s="41" customFormat="1" x14ac:dyDescent="0.25">
      <c r="A329" s="15">
        <v>225</v>
      </c>
      <c r="B329" s="15">
        <v>3811912</v>
      </c>
      <c r="C329" s="16" t="s">
        <v>348</v>
      </c>
      <c r="D329" s="45"/>
      <c r="E329" s="185">
        <v>1232.72</v>
      </c>
      <c r="F329" s="185">
        <v>5022.67</v>
      </c>
      <c r="G329" s="42">
        <v>13500</v>
      </c>
      <c r="H329" s="42">
        <v>5500</v>
      </c>
      <c r="I329" s="42">
        <v>5022.67</v>
      </c>
      <c r="J329" s="8">
        <f t="shared" si="145"/>
        <v>446.16782399896169</v>
      </c>
      <c r="K329" s="98">
        <f t="shared" si="126"/>
        <v>40.74074074074074</v>
      </c>
      <c r="L329" s="103">
        <v>11</v>
      </c>
      <c r="M329" s="77">
        <v>11</v>
      </c>
      <c r="N329" s="76">
        <v>11</v>
      </c>
      <c r="O329" s="76">
        <v>11</v>
      </c>
      <c r="P329" s="102">
        <v>11</v>
      </c>
      <c r="Q329" s="74" t="s">
        <v>669</v>
      </c>
      <c r="R329" s="74" t="s">
        <v>669</v>
      </c>
      <c r="S329" s="74" t="s">
        <v>669</v>
      </c>
      <c r="T329" s="112" t="s">
        <v>669</v>
      </c>
      <c r="U329" s="112" t="s">
        <v>669</v>
      </c>
    </row>
    <row r="330" spans="1:23" s="41" customFormat="1" x14ac:dyDescent="0.25">
      <c r="A330" s="15"/>
      <c r="B330" s="15">
        <v>3811915</v>
      </c>
      <c r="C330" s="16" t="s">
        <v>405</v>
      </c>
      <c r="D330" s="45"/>
      <c r="E330" s="185"/>
      <c r="F330" s="185"/>
      <c r="G330" s="42"/>
      <c r="H330" s="42"/>
      <c r="I330" s="42"/>
      <c r="J330" s="8">
        <f t="shared" si="145"/>
        <v>0</v>
      </c>
      <c r="K330" s="98">
        <f t="shared" si="126"/>
        <v>0</v>
      </c>
      <c r="L330" s="103">
        <v>11</v>
      </c>
      <c r="M330" s="77">
        <v>11</v>
      </c>
      <c r="N330" s="76">
        <v>11</v>
      </c>
      <c r="O330" s="76">
        <v>11</v>
      </c>
      <c r="P330" s="102">
        <v>11</v>
      </c>
      <c r="Q330" s="74" t="s">
        <v>671</v>
      </c>
      <c r="R330" s="74" t="s">
        <v>671</v>
      </c>
      <c r="S330" s="74" t="s">
        <v>671</v>
      </c>
      <c r="T330" s="112" t="s">
        <v>671</v>
      </c>
      <c r="U330" s="112" t="s">
        <v>671</v>
      </c>
      <c r="V330" s="33"/>
      <c r="W330" s="33"/>
    </row>
    <row r="331" spans="1:23" s="33" customFormat="1" ht="32.25" customHeight="1" x14ac:dyDescent="0.25">
      <c r="A331" s="11"/>
      <c r="B331" s="11">
        <v>382</v>
      </c>
      <c r="C331" s="12" t="s">
        <v>384</v>
      </c>
      <c r="D331" s="13">
        <f t="shared" ref="D331:I331" si="149">SUM(D332:D332)</f>
        <v>0</v>
      </c>
      <c r="E331" s="186">
        <f t="shared" si="149"/>
        <v>6376.49</v>
      </c>
      <c r="F331" s="186">
        <f t="shared" si="149"/>
        <v>6896.49</v>
      </c>
      <c r="G331" s="13">
        <f t="shared" si="149"/>
        <v>6500</v>
      </c>
      <c r="H331" s="13">
        <f t="shared" si="149"/>
        <v>10500</v>
      </c>
      <c r="I331" s="13">
        <f t="shared" si="149"/>
        <v>6896.49</v>
      </c>
      <c r="J331" s="8">
        <f t="shared" si="145"/>
        <v>164.66739538523544</v>
      </c>
      <c r="K331" s="98">
        <f t="shared" si="126"/>
        <v>161.53846153846155</v>
      </c>
      <c r="V331" s="36"/>
      <c r="W331" s="36"/>
    </row>
    <row r="332" spans="1:23" s="36" customFormat="1" x14ac:dyDescent="0.25">
      <c r="A332" s="15"/>
      <c r="B332" s="15">
        <v>382141</v>
      </c>
      <c r="C332" s="16" t="s">
        <v>455</v>
      </c>
      <c r="D332" s="45"/>
      <c r="E332" s="185">
        <v>6376.49</v>
      </c>
      <c r="F332" s="185">
        <v>6896.49</v>
      </c>
      <c r="G332" s="42">
        <v>6500</v>
      </c>
      <c r="H332" s="42">
        <v>10500</v>
      </c>
      <c r="I332" s="42">
        <v>6896.49</v>
      </c>
      <c r="J332" s="8">
        <f t="shared" si="145"/>
        <v>164.66739538523544</v>
      </c>
      <c r="K332" s="98">
        <f t="shared" si="126"/>
        <v>161.53846153846155</v>
      </c>
      <c r="L332" s="103">
        <v>11</v>
      </c>
      <c r="M332" s="77">
        <v>11</v>
      </c>
      <c r="N332" s="76">
        <v>11</v>
      </c>
      <c r="O332" s="76">
        <v>11</v>
      </c>
      <c r="P332" s="102">
        <v>11</v>
      </c>
      <c r="Q332" s="74" t="s">
        <v>669</v>
      </c>
      <c r="R332" s="74" t="s">
        <v>669</v>
      </c>
      <c r="S332" s="74" t="s">
        <v>669</v>
      </c>
      <c r="T332" s="111" t="s">
        <v>669</v>
      </c>
      <c r="U332" s="111" t="s">
        <v>669</v>
      </c>
      <c r="V332" s="41"/>
      <c r="W332" s="41"/>
    </row>
    <row r="333" spans="1:23" s="41" customFormat="1" x14ac:dyDescent="0.25">
      <c r="A333" s="11"/>
      <c r="B333" s="11">
        <v>383</v>
      </c>
      <c r="C333" s="12" t="s">
        <v>349</v>
      </c>
      <c r="D333" s="35">
        <f t="shared" ref="D333:I333" si="150">SUM(D334:D337)</f>
        <v>0</v>
      </c>
      <c r="E333" s="183">
        <f>SUM(E334:E337)</f>
        <v>0</v>
      </c>
      <c r="F333" s="183">
        <f t="shared" ref="F333" si="151">SUM(F334:F337)</f>
        <v>0</v>
      </c>
      <c r="G333" s="35">
        <f t="shared" si="150"/>
        <v>8000</v>
      </c>
      <c r="H333" s="35">
        <f>SUM(H334:H337)</f>
        <v>0</v>
      </c>
      <c r="I333" s="35">
        <f t="shared" si="150"/>
        <v>0</v>
      </c>
      <c r="J333" s="8">
        <f t="shared" si="145"/>
        <v>0</v>
      </c>
      <c r="K333" s="98">
        <f t="shared" ref="K333:K394" si="152">IFERROR(SUM(H333/G333),0)*100</f>
        <v>0</v>
      </c>
      <c r="V333" s="43"/>
      <c r="W333" s="43"/>
    </row>
    <row r="334" spans="1:23" s="43" customFormat="1" x14ac:dyDescent="0.25">
      <c r="A334" s="37">
        <v>226</v>
      </c>
      <c r="B334" s="37">
        <v>38311</v>
      </c>
      <c r="C334" s="38" t="s">
        <v>350</v>
      </c>
      <c r="D334" s="47"/>
      <c r="E334" s="187"/>
      <c r="F334" s="187"/>
      <c r="G334" s="40">
        <v>6500</v>
      </c>
      <c r="H334" s="40"/>
      <c r="I334" s="40"/>
      <c r="J334" s="8">
        <f t="shared" si="145"/>
        <v>0</v>
      </c>
      <c r="K334" s="98">
        <f t="shared" si="152"/>
        <v>0</v>
      </c>
      <c r="L334" s="103">
        <v>11</v>
      </c>
      <c r="M334" s="77">
        <v>11</v>
      </c>
      <c r="N334" s="76">
        <v>11</v>
      </c>
      <c r="O334" s="76">
        <v>11</v>
      </c>
      <c r="P334" s="102">
        <v>11</v>
      </c>
      <c r="Q334" s="74" t="s">
        <v>609</v>
      </c>
      <c r="R334" s="74" t="s">
        <v>609</v>
      </c>
      <c r="S334" s="74" t="s">
        <v>609</v>
      </c>
      <c r="T334" s="113" t="s">
        <v>609</v>
      </c>
      <c r="U334" s="113" t="s">
        <v>609</v>
      </c>
    </row>
    <row r="335" spans="1:23" s="43" customFormat="1" x14ac:dyDescent="0.25">
      <c r="A335" s="37"/>
      <c r="B335" s="37">
        <v>38319</v>
      </c>
      <c r="C335" s="38" t="s">
        <v>864</v>
      </c>
      <c r="D335" s="47"/>
      <c r="E335" s="187"/>
      <c r="F335" s="187"/>
      <c r="G335" s="40"/>
      <c r="H335" s="40"/>
      <c r="I335" s="40"/>
      <c r="J335" s="8"/>
      <c r="K335" s="98"/>
      <c r="L335" s="103">
        <v>21</v>
      </c>
      <c r="M335" s="77">
        <v>21</v>
      </c>
      <c r="N335" s="76">
        <v>21</v>
      </c>
      <c r="O335" s="76">
        <v>21</v>
      </c>
      <c r="P335" s="102">
        <v>21</v>
      </c>
      <c r="Q335" s="74" t="s">
        <v>607</v>
      </c>
      <c r="R335" s="74" t="s">
        <v>607</v>
      </c>
      <c r="S335" s="74" t="s">
        <v>607</v>
      </c>
      <c r="T335" s="113" t="s">
        <v>607</v>
      </c>
      <c r="U335" s="113" t="s">
        <v>607</v>
      </c>
      <c r="V335" s="41"/>
      <c r="W335" s="41"/>
    </row>
    <row r="336" spans="1:23" s="41" customFormat="1" x14ac:dyDescent="0.25">
      <c r="A336" s="37"/>
      <c r="B336" s="37">
        <v>38351</v>
      </c>
      <c r="C336" s="38" t="s">
        <v>498</v>
      </c>
      <c r="D336" s="47"/>
      <c r="E336" s="187"/>
      <c r="F336" s="187"/>
      <c r="G336" s="40">
        <v>1500</v>
      </c>
      <c r="H336" s="40"/>
      <c r="I336" s="40"/>
      <c r="J336" s="8">
        <f t="shared" ref="J336:J349" si="153">IFERROR(SUM(H336/E336),0)*100</f>
        <v>0</v>
      </c>
      <c r="K336" s="98">
        <f t="shared" si="152"/>
        <v>0</v>
      </c>
      <c r="L336" s="103">
        <v>11</v>
      </c>
      <c r="M336" s="77">
        <v>11</v>
      </c>
      <c r="N336" s="76">
        <v>11</v>
      </c>
      <c r="O336" s="76">
        <v>11</v>
      </c>
      <c r="P336" s="102">
        <v>11</v>
      </c>
      <c r="Q336" s="74" t="s">
        <v>563</v>
      </c>
      <c r="R336" s="74" t="s">
        <v>563</v>
      </c>
      <c r="S336" s="74" t="s">
        <v>563</v>
      </c>
      <c r="T336" s="112" t="s">
        <v>563</v>
      </c>
      <c r="U336" s="112" t="s">
        <v>563</v>
      </c>
      <c r="V336" s="43"/>
      <c r="W336" s="43"/>
    </row>
    <row r="337" spans="1:23" s="43" customFormat="1" x14ac:dyDescent="0.25">
      <c r="A337" s="37"/>
      <c r="B337" s="37"/>
      <c r="C337" s="38" t="s">
        <v>394</v>
      </c>
      <c r="D337" s="47"/>
      <c r="E337" s="187"/>
      <c r="F337" s="187"/>
      <c r="G337" s="40"/>
      <c r="H337" s="40"/>
      <c r="I337" s="40"/>
      <c r="J337" s="8">
        <f t="shared" si="153"/>
        <v>0</v>
      </c>
      <c r="K337" s="98">
        <f t="shared" si="152"/>
        <v>0</v>
      </c>
      <c r="L337" s="103">
        <v>11</v>
      </c>
      <c r="M337" s="77">
        <v>11</v>
      </c>
      <c r="N337" s="76">
        <v>11</v>
      </c>
      <c r="O337" s="76">
        <v>11</v>
      </c>
      <c r="P337" s="102">
        <v>11</v>
      </c>
      <c r="Q337" s="74"/>
      <c r="R337" s="74"/>
      <c r="S337" s="74"/>
      <c r="T337" s="113"/>
      <c r="U337" s="113"/>
      <c r="V337" s="33"/>
      <c r="W337" s="33"/>
    </row>
    <row r="338" spans="1:23" s="33" customFormat="1" ht="29.25" customHeight="1" x14ac:dyDescent="0.25">
      <c r="A338" s="6"/>
      <c r="B338" s="6">
        <v>4</v>
      </c>
      <c r="C338" s="10" t="s">
        <v>144</v>
      </c>
      <c r="D338" s="32">
        <f t="shared" ref="D338:I338" si="154">SUM(D339+D345+D392)</f>
        <v>0</v>
      </c>
      <c r="E338" s="180">
        <f>SUM(E339+E345+E392)</f>
        <v>164680.65999999997</v>
      </c>
      <c r="F338" s="180">
        <f t="shared" ref="F338" si="155">SUM(F339+F345+F392)</f>
        <v>651899.66000000015</v>
      </c>
      <c r="G338" s="32">
        <f t="shared" si="154"/>
        <v>1623500</v>
      </c>
      <c r="H338" s="32">
        <f>SUM(H339+H345+H392)</f>
        <v>751500</v>
      </c>
      <c r="I338" s="32">
        <f t="shared" si="154"/>
        <v>651899.66000000015</v>
      </c>
      <c r="J338" s="8">
        <f t="shared" si="153"/>
        <v>456.33773874843604</v>
      </c>
      <c r="K338" s="98">
        <f t="shared" si="152"/>
        <v>46.288882044964581</v>
      </c>
      <c r="L338" s="103"/>
      <c r="M338" s="77"/>
      <c r="N338" s="76"/>
      <c r="O338" s="76"/>
      <c r="P338" s="102"/>
      <c r="Q338" s="74"/>
      <c r="R338" s="74"/>
      <c r="S338" s="74"/>
      <c r="T338" s="111"/>
      <c r="U338" s="111"/>
      <c r="V338" s="36"/>
      <c r="W338" s="36"/>
    </row>
    <row r="339" spans="1:23" s="36" customFormat="1" ht="31.5" x14ac:dyDescent="0.25">
      <c r="A339" s="6"/>
      <c r="B339" s="6">
        <v>41</v>
      </c>
      <c r="C339" s="10" t="s">
        <v>351</v>
      </c>
      <c r="D339" s="32">
        <f t="shared" ref="D339:I339" si="156">SUM(D340)</f>
        <v>0</v>
      </c>
      <c r="E339" s="180">
        <f t="shared" si="156"/>
        <v>16914.809999999998</v>
      </c>
      <c r="F339" s="180">
        <f t="shared" si="156"/>
        <v>17298.809999999998</v>
      </c>
      <c r="G339" s="32">
        <f t="shared" si="156"/>
        <v>8000</v>
      </c>
      <c r="H339" s="32">
        <f t="shared" si="156"/>
        <v>18000</v>
      </c>
      <c r="I339" s="32">
        <f t="shared" si="156"/>
        <v>17298.809999999998</v>
      </c>
      <c r="J339" s="8">
        <f t="shared" si="153"/>
        <v>106.41562039419894</v>
      </c>
      <c r="K339" s="98">
        <f t="shared" si="152"/>
        <v>225</v>
      </c>
      <c r="L339" s="103"/>
      <c r="M339" s="77"/>
      <c r="N339" s="76"/>
      <c r="O339" s="76"/>
      <c r="P339" s="102"/>
      <c r="Q339" s="74"/>
      <c r="R339" s="74"/>
      <c r="S339" s="74"/>
      <c r="T339" s="112"/>
      <c r="U339" s="112"/>
      <c r="V339" s="41"/>
      <c r="W339" s="41"/>
    </row>
    <row r="340" spans="1:23" s="41" customFormat="1" x14ac:dyDescent="0.25">
      <c r="A340" s="11"/>
      <c r="B340" s="11">
        <v>411</v>
      </c>
      <c r="C340" s="12" t="s">
        <v>352</v>
      </c>
      <c r="D340" s="35">
        <f t="shared" ref="D340:I340" si="157">SUM(D341+D343)</f>
        <v>0</v>
      </c>
      <c r="E340" s="183">
        <f>SUM(E341+E343)</f>
        <v>16914.809999999998</v>
      </c>
      <c r="F340" s="183">
        <f t="shared" ref="F340" si="158">SUM(F341+F343)</f>
        <v>17298.809999999998</v>
      </c>
      <c r="G340" s="35">
        <f t="shared" si="157"/>
        <v>8000</v>
      </c>
      <c r="H340" s="35">
        <f>SUM(H341+H343)</f>
        <v>18000</v>
      </c>
      <c r="I340" s="35">
        <f t="shared" si="157"/>
        <v>17298.809999999998</v>
      </c>
      <c r="J340" s="8">
        <f t="shared" si="153"/>
        <v>106.41562039419894</v>
      </c>
      <c r="K340" s="98">
        <f t="shared" si="152"/>
        <v>225</v>
      </c>
      <c r="L340" s="103"/>
      <c r="M340" s="77"/>
      <c r="N340" s="76"/>
      <c r="O340" s="76"/>
      <c r="P340" s="102"/>
      <c r="Q340" s="74"/>
      <c r="R340" s="74"/>
      <c r="S340" s="74"/>
      <c r="T340" s="113"/>
      <c r="U340" s="113"/>
      <c r="V340" s="43"/>
      <c r="W340" s="43"/>
    </row>
    <row r="341" spans="1:23" s="43" customFormat="1" x14ac:dyDescent="0.25">
      <c r="A341" s="37"/>
      <c r="B341" s="37">
        <v>4111</v>
      </c>
      <c r="C341" s="38" t="s">
        <v>353</v>
      </c>
      <c r="D341" s="47">
        <f t="shared" ref="D341:I341" si="159">SUM(D342:D342)</f>
        <v>0</v>
      </c>
      <c r="E341" s="184">
        <f t="shared" si="159"/>
        <v>16384.8</v>
      </c>
      <c r="F341" s="184">
        <f t="shared" si="159"/>
        <v>16384.8</v>
      </c>
      <c r="G341" s="39">
        <f t="shared" si="159"/>
        <v>6500</v>
      </c>
      <c r="H341" s="39">
        <f t="shared" si="159"/>
        <v>16500</v>
      </c>
      <c r="I341" s="39">
        <f t="shared" si="159"/>
        <v>16384.8</v>
      </c>
      <c r="J341" s="8">
        <f t="shared" si="153"/>
        <v>100.70309066940091</v>
      </c>
      <c r="K341" s="98">
        <f t="shared" si="152"/>
        <v>253.84615384615384</v>
      </c>
    </row>
    <row r="342" spans="1:23" s="43" customFormat="1" x14ac:dyDescent="0.25">
      <c r="A342" s="15">
        <v>228</v>
      </c>
      <c r="B342" s="15">
        <v>41112</v>
      </c>
      <c r="C342" s="16" t="s">
        <v>354</v>
      </c>
      <c r="D342" s="45"/>
      <c r="E342" s="185">
        <v>16384.8</v>
      </c>
      <c r="F342" s="185">
        <v>16384.8</v>
      </c>
      <c r="G342" s="42">
        <v>6500</v>
      </c>
      <c r="H342" s="42">
        <v>16500</v>
      </c>
      <c r="I342" s="42">
        <v>16384.8</v>
      </c>
      <c r="J342" s="8">
        <f t="shared" si="153"/>
        <v>100.70309066940091</v>
      </c>
      <c r="K342" s="98">
        <f t="shared" si="152"/>
        <v>253.84615384615384</v>
      </c>
      <c r="L342" s="103">
        <v>61</v>
      </c>
      <c r="M342" s="77">
        <v>61</v>
      </c>
      <c r="N342" s="76">
        <v>61</v>
      </c>
      <c r="O342" s="76">
        <v>61</v>
      </c>
      <c r="P342" s="102">
        <v>61</v>
      </c>
      <c r="Q342" s="74" t="s">
        <v>563</v>
      </c>
      <c r="R342" s="74" t="s">
        <v>563</v>
      </c>
      <c r="S342" s="74" t="s">
        <v>563</v>
      </c>
      <c r="T342" s="113" t="s">
        <v>563</v>
      </c>
      <c r="U342" s="113" t="s">
        <v>563</v>
      </c>
    </row>
    <row r="343" spans="1:23" s="43" customFormat="1" x14ac:dyDescent="0.25">
      <c r="A343" s="37"/>
      <c r="B343" s="37">
        <v>4123</v>
      </c>
      <c r="C343" s="38" t="s">
        <v>355</v>
      </c>
      <c r="D343" s="39">
        <f t="shared" ref="D343:I343" si="160">SUM(D344)</f>
        <v>0</v>
      </c>
      <c r="E343" s="184">
        <f t="shared" si="160"/>
        <v>530.01</v>
      </c>
      <c r="F343" s="184">
        <f t="shared" si="160"/>
        <v>914.01</v>
      </c>
      <c r="G343" s="39">
        <f t="shared" si="160"/>
        <v>1500</v>
      </c>
      <c r="H343" s="39">
        <f t="shared" si="160"/>
        <v>1500</v>
      </c>
      <c r="I343" s="39">
        <f t="shared" si="160"/>
        <v>914.01</v>
      </c>
      <c r="J343" s="8">
        <f t="shared" si="153"/>
        <v>283.01352804664066</v>
      </c>
      <c r="K343" s="98">
        <f t="shared" si="152"/>
        <v>100</v>
      </c>
      <c r="L343" s="103"/>
      <c r="M343" s="77"/>
      <c r="N343" s="76"/>
      <c r="O343" s="76"/>
      <c r="P343" s="102"/>
      <c r="Q343" s="74"/>
      <c r="R343" s="74"/>
      <c r="S343" s="74"/>
      <c r="T343" s="113"/>
      <c r="U343" s="113"/>
      <c r="V343" s="25"/>
      <c r="W343" s="25"/>
    </row>
    <row r="344" spans="1:23" x14ac:dyDescent="0.25">
      <c r="A344" s="15">
        <v>229</v>
      </c>
      <c r="B344" s="15">
        <v>41231</v>
      </c>
      <c r="C344" s="16" t="s">
        <v>41</v>
      </c>
      <c r="D344" s="45"/>
      <c r="E344" s="185">
        <v>530.01</v>
      </c>
      <c r="F344" s="185">
        <v>914.01</v>
      </c>
      <c r="G344" s="42">
        <v>1500</v>
      </c>
      <c r="H344" s="42">
        <v>1500</v>
      </c>
      <c r="I344" s="42">
        <v>914.01</v>
      </c>
      <c r="J344" s="8">
        <f t="shared" si="153"/>
        <v>283.01352804664066</v>
      </c>
      <c r="K344" s="98">
        <f t="shared" si="152"/>
        <v>100</v>
      </c>
      <c r="L344" s="103">
        <v>11</v>
      </c>
      <c r="M344" s="77">
        <v>11</v>
      </c>
      <c r="N344" s="76">
        <v>11</v>
      </c>
      <c r="O344" s="76">
        <v>11</v>
      </c>
      <c r="P344" s="102">
        <v>11</v>
      </c>
      <c r="Q344" s="74" t="s">
        <v>563</v>
      </c>
      <c r="R344" s="74" t="s">
        <v>563</v>
      </c>
      <c r="S344" s="74" t="s">
        <v>563</v>
      </c>
      <c r="T344" s="109" t="s">
        <v>563</v>
      </c>
      <c r="U344" s="109" t="s">
        <v>563</v>
      </c>
      <c r="V344" s="43"/>
      <c r="W344" s="43"/>
    </row>
    <row r="345" spans="1:23" s="43" customFormat="1" x14ac:dyDescent="0.25">
      <c r="A345" s="6"/>
      <c r="B345" s="6">
        <v>42</v>
      </c>
      <c r="C345" s="10" t="s">
        <v>356</v>
      </c>
      <c r="D345" s="32">
        <f t="shared" ref="D345:I345" si="161">SUM(D346+D371+D389+D387)</f>
        <v>0</v>
      </c>
      <c r="E345" s="180">
        <f>SUM(E346+E371+E389+E387)</f>
        <v>146933.03999999998</v>
      </c>
      <c r="F345" s="180">
        <f t="shared" ref="F345" si="162">SUM(F346+F371+F389+F387)</f>
        <v>561109.04</v>
      </c>
      <c r="G345" s="32">
        <f t="shared" si="161"/>
        <v>1565500</v>
      </c>
      <c r="H345" s="32">
        <f>SUM(H346+H371+H389+H387)</f>
        <v>653500</v>
      </c>
      <c r="I345" s="32">
        <f t="shared" si="161"/>
        <v>561109.04</v>
      </c>
      <c r="J345" s="8">
        <f t="shared" si="153"/>
        <v>444.76041603712827</v>
      </c>
      <c r="K345" s="98">
        <f t="shared" si="152"/>
        <v>41.743851804535289</v>
      </c>
      <c r="L345" s="103"/>
      <c r="M345" s="77"/>
      <c r="N345" s="76"/>
      <c r="O345" s="76"/>
      <c r="P345" s="102"/>
      <c r="Q345" s="74"/>
      <c r="R345" s="74"/>
      <c r="S345" s="74"/>
      <c r="T345" s="113"/>
      <c r="U345" s="113"/>
    </row>
    <row r="346" spans="1:23" s="43" customFormat="1" x14ac:dyDescent="0.25">
      <c r="A346" s="11"/>
      <c r="B346" s="11">
        <v>421</v>
      </c>
      <c r="C346" s="12" t="s">
        <v>357</v>
      </c>
      <c r="D346" s="35">
        <f t="shared" ref="D346:I346" si="163">SUM(D347+D362+D366)</f>
        <v>0</v>
      </c>
      <c r="E346" s="183">
        <f>SUM(E347+E362+E366)</f>
        <v>105456.81</v>
      </c>
      <c r="F346" s="183">
        <f t="shared" ref="F346" si="164">SUM(F347+F362+F366)</f>
        <v>403489.43</v>
      </c>
      <c r="G346" s="35">
        <f t="shared" si="163"/>
        <v>1477000</v>
      </c>
      <c r="H346" s="35">
        <f>SUM(H347+H362+H366)</f>
        <v>503500</v>
      </c>
      <c r="I346" s="35">
        <f t="shared" si="163"/>
        <v>403489.43</v>
      </c>
      <c r="J346" s="8">
        <f t="shared" si="153"/>
        <v>477.44664379664056</v>
      </c>
      <c r="K346" s="98">
        <f t="shared" si="152"/>
        <v>34.089370345294519</v>
      </c>
      <c r="L346" s="103"/>
      <c r="M346" s="77"/>
      <c r="N346" s="76"/>
      <c r="O346" s="76"/>
      <c r="P346" s="102"/>
      <c r="Q346" s="74"/>
      <c r="R346" s="74"/>
      <c r="S346" s="74"/>
      <c r="T346" s="113"/>
      <c r="U346" s="113"/>
    </row>
    <row r="347" spans="1:23" s="43" customFormat="1" x14ac:dyDescent="0.25">
      <c r="A347" s="37"/>
      <c r="B347" s="37">
        <v>4212</v>
      </c>
      <c r="C347" s="38" t="s">
        <v>358</v>
      </c>
      <c r="D347" s="39">
        <f t="shared" ref="D347:I347" si="165">SUM(D348:D361)</f>
        <v>0</v>
      </c>
      <c r="E347" s="184">
        <f>SUM(E348:E361)</f>
        <v>41204.730000000003</v>
      </c>
      <c r="F347" s="184">
        <f t="shared" ref="F347" si="166">SUM(F348:F361)</f>
        <v>220143.12</v>
      </c>
      <c r="G347" s="39">
        <f t="shared" si="165"/>
        <v>1320000</v>
      </c>
      <c r="H347" s="39">
        <f>SUM(H348:H361)</f>
        <v>250000</v>
      </c>
      <c r="I347" s="39">
        <f t="shared" si="165"/>
        <v>220143.12</v>
      </c>
      <c r="J347" s="8">
        <f t="shared" si="153"/>
        <v>606.72646077282866</v>
      </c>
      <c r="K347" s="98">
        <f t="shared" si="152"/>
        <v>18.939393939393938</v>
      </c>
      <c r="L347" s="103"/>
      <c r="M347" s="77"/>
      <c r="N347" s="76"/>
      <c r="O347" s="76"/>
      <c r="P347" s="102"/>
      <c r="Q347" s="74"/>
      <c r="R347" s="74"/>
      <c r="S347" s="74"/>
      <c r="T347" s="113"/>
      <c r="U347" s="113"/>
    </row>
    <row r="348" spans="1:23" s="43" customFormat="1" x14ac:dyDescent="0.25">
      <c r="A348" s="15"/>
      <c r="B348" s="15">
        <v>421211</v>
      </c>
      <c r="C348" s="16" t="s">
        <v>97</v>
      </c>
      <c r="D348" s="45"/>
      <c r="E348" s="188"/>
      <c r="F348" s="188"/>
      <c r="G348" s="17"/>
      <c r="H348" s="17"/>
      <c r="I348" s="17"/>
      <c r="J348" s="8">
        <f t="shared" si="153"/>
        <v>0</v>
      </c>
      <c r="K348" s="98">
        <f t="shared" si="152"/>
        <v>0</v>
      </c>
    </row>
    <row r="349" spans="1:23" s="43" customFormat="1" x14ac:dyDescent="0.25">
      <c r="A349" s="15"/>
      <c r="B349" s="15">
        <v>421212</v>
      </c>
      <c r="C349" s="16" t="s">
        <v>448</v>
      </c>
      <c r="D349" s="45"/>
      <c r="E349" s="188"/>
      <c r="F349" s="188"/>
      <c r="G349" s="17"/>
      <c r="H349" s="17"/>
      <c r="I349" s="17"/>
      <c r="J349" s="8">
        <f t="shared" si="153"/>
        <v>0</v>
      </c>
      <c r="K349" s="98">
        <f t="shared" si="152"/>
        <v>0</v>
      </c>
      <c r="L349" s="103">
        <v>41</v>
      </c>
      <c r="M349" s="77">
        <v>41</v>
      </c>
      <c r="N349" s="76">
        <v>41</v>
      </c>
      <c r="O349" s="76">
        <v>41</v>
      </c>
      <c r="P349" s="102">
        <v>41</v>
      </c>
      <c r="Q349" s="74" t="s">
        <v>683</v>
      </c>
      <c r="R349" s="74" t="s">
        <v>683</v>
      </c>
      <c r="S349" s="74" t="s">
        <v>683</v>
      </c>
      <c r="T349" s="113" t="s">
        <v>683</v>
      </c>
      <c r="U349" s="113" t="s">
        <v>683</v>
      </c>
    </row>
    <row r="350" spans="1:23" s="43" customFormat="1" x14ac:dyDescent="0.25">
      <c r="A350" s="15"/>
      <c r="B350" s="15">
        <v>421213</v>
      </c>
      <c r="C350" s="16" t="s">
        <v>799</v>
      </c>
      <c r="D350" s="45"/>
      <c r="E350" s="188"/>
      <c r="F350" s="188"/>
      <c r="G350" s="17">
        <v>1000000</v>
      </c>
      <c r="H350" s="17">
        <v>100000</v>
      </c>
      <c r="I350" s="17"/>
      <c r="J350" s="8"/>
      <c r="K350" s="98"/>
      <c r="L350" s="103">
        <v>41</v>
      </c>
      <c r="M350" s="77">
        <v>41</v>
      </c>
      <c r="N350" s="76">
        <v>41</v>
      </c>
      <c r="O350" s="76">
        <v>41</v>
      </c>
      <c r="P350" s="102">
        <v>41</v>
      </c>
      <c r="Q350" s="74" t="s">
        <v>683</v>
      </c>
      <c r="R350" s="74" t="s">
        <v>683</v>
      </c>
      <c r="S350" s="74" t="s">
        <v>683</v>
      </c>
      <c r="T350" s="113" t="s">
        <v>683</v>
      </c>
      <c r="U350" s="113" t="s">
        <v>683</v>
      </c>
    </row>
    <row r="351" spans="1:23" s="43" customFormat="1" x14ac:dyDescent="0.25">
      <c r="A351" s="20">
        <v>230</v>
      </c>
      <c r="B351" s="20">
        <v>421261</v>
      </c>
      <c r="C351" s="21" t="s">
        <v>359</v>
      </c>
      <c r="D351" s="155"/>
      <c r="E351" s="189"/>
      <c r="F351" s="189"/>
      <c r="G351" s="44">
        <v>70000</v>
      </c>
      <c r="H351" s="44"/>
      <c r="I351" s="44"/>
      <c r="J351" s="8">
        <f>IFERROR(SUM(H351/E351),0)*100</f>
        <v>0</v>
      </c>
      <c r="K351" s="98">
        <f t="shared" si="152"/>
        <v>0</v>
      </c>
      <c r="L351" s="103">
        <v>11</v>
      </c>
      <c r="M351" s="77">
        <v>11</v>
      </c>
      <c r="N351" s="76">
        <v>11</v>
      </c>
      <c r="O351" s="76">
        <v>11</v>
      </c>
      <c r="P351" s="102">
        <v>11</v>
      </c>
      <c r="Q351" s="74" t="s">
        <v>669</v>
      </c>
      <c r="R351" s="74" t="s">
        <v>669</v>
      </c>
      <c r="S351" s="74" t="s">
        <v>669</v>
      </c>
      <c r="T351" s="113" t="s">
        <v>669</v>
      </c>
      <c r="U351" s="113" t="s">
        <v>669</v>
      </c>
    </row>
    <row r="352" spans="1:23" s="43" customFormat="1" x14ac:dyDescent="0.25">
      <c r="A352" s="20"/>
      <c r="B352" s="20"/>
      <c r="C352" s="21" t="s">
        <v>911</v>
      </c>
      <c r="D352" s="155"/>
      <c r="E352" s="189"/>
      <c r="F352" s="189"/>
      <c r="G352" s="44"/>
      <c r="H352" s="44"/>
      <c r="I352" s="44"/>
      <c r="J352" s="8"/>
      <c r="K352" s="98"/>
      <c r="L352" s="103">
        <v>11</v>
      </c>
      <c r="M352" s="77">
        <v>11</v>
      </c>
      <c r="N352" s="76">
        <v>11</v>
      </c>
      <c r="O352" s="76">
        <v>11</v>
      </c>
      <c r="P352" s="102">
        <v>11</v>
      </c>
      <c r="Q352" s="74" t="s">
        <v>643</v>
      </c>
      <c r="R352" s="74" t="s">
        <v>643</v>
      </c>
      <c r="S352" s="74" t="s">
        <v>643</v>
      </c>
      <c r="T352" s="113" t="s">
        <v>643</v>
      </c>
      <c r="U352" s="113" t="s">
        <v>643</v>
      </c>
    </row>
    <row r="353" spans="1:23" s="43" customFormat="1" x14ac:dyDescent="0.25">
      <c r="A353" s="15">
        <v>231</v>
      </c>
      <c r="B353" s="15">
        <v>421263</v>
      </c>
      <c r="C353" s="16" t="s">
        <v>798</v>
      </c>
      <c r="D353" s="45"/>
      <c r="E353" s="185"/>
      <c r="F353" s="185"/>
      <c r="G353" s="42"/>
      <c r="H353" s="42"/>
      <c r="I353" s="42"/>
      <c r="J353" s="8">
        <f>IFERROR(SUM(H353/E353),0)*100</f>
        <v>0</v>
      </c>
      <c r="K353" s="98">
        <f t="shared" si="152"/>
        <v>0</v>
      </c>
      <c r="L353" s="103">
        <v>11</v>
      </c>
      <c r="M353" s="77">
        <v>11</v>
      </c>
      <c r="N353" s="76">
        <v>11</v>
      </c>
      <c r="O353" s="76">
        <v>11</v>
      </c>
      <c r="P353" s="102">
        <v>11</v>
      </c>
      <c r="Q353" s="74" t="s">
        <v>669</v>
      </c>
      <c r="R353" s="74" t="s">
        <v>669</v>
      </c>
      <c r="S353" s="74" t="s">
        <v>669</v>
      </c>
      <c r="T353" s="113" t="s">
        <v>669</v>
      </c>
      <c r="U353" s="113" t="s">
        <v>669</v>
      </c>
      <c r="V353" s="41"/>
      <c r="W353" s="41"/>
    </row>
    <row r="354" spans="1:23" s="41" customFormat="1" x14ac:dyDescent="0.25">
      <c r="A354" s="15">
        <v>232</v>
      </c>
      <c r="B354" s="15">
        <v>421264</v>
      </c>
      <c r="C354" s="16" t="s">
        <v>938</v>
      </c>
      <c r="D354" s="45"/>
      <c r="E354" s="185"/>
      <c r="F354" s="185"/>
      <c r="G354" s="42"/>
      <c r="H354" s="42"/>
      <c r="I354" s="42"/>
      <c r="J354" s="8">
        <f>IFERROR(SUM(H354/E354),0)*100</f>
        <v>0</v>
      </c>
      <c r="K354" s="98">
        <f t="shared" si="152"/>
        <v>0</v>
      </c>
      <c r="L354" s="103">
        <v>11</v>
      </c>
      <c r="M354" s="77">
        <v>11</v>
      </c>
      <c r="N354" s="76">
        <v>11</v>
      </c>
      <c r="O354" s="76">
        <v>11</v>
      </c>
      <c r="P354" s="102">
        <v>11</v>
      </c>
      <c r="Q354" s="74" t="s">
        <v>669</v>
      </c>
      <c r="R354" s="74" t="s">
        <v>669</v>
      </c>
      <c r="S354" s="74" t="s">
        <v>669</v>
      </c>
      <c r="T354" s="113" t="s">
        <v>669</v>
      </c>
      <c r="U354" s="113" t="s">
        <v>669</v>
      </c>
      <c r="V354" s="43"/>
      <c r="W354" s="43"/>
    </row>
    <row r="355" spans="1:23" s="43" customFormat="1" x14ac:dyDescent="0.25">
      <c r="A355" s="15">
        <v>233</v>
      </c>
      <c r="B355" s="15">
        <v>421265</v>
      </c>
      <c r="C355" s="16" t="s">
        <v>968</v>
      </c>
      <c r="D355" s="45"/>
      <c r="E355" s="185"/>
      <c r="F355" s="185"/>
      <c r="G355" s="42"/>
      <c r="H355" s="42"/>
      <c r="I355" s="42"/>
      <c r="J355" s="8">
        <f>IFERROR(SUM(H355/E355),0)*100</f>
        <v>0</v>
      </c>
      <c r="K355" s="98">
        <f t="shared" si="152"/>
        <v>0</v>
      </c>
      <c r="L355" s="103">
        <v>11</v>
      </c>
      <c r="M355" s="77">
        <v>11</v>
      </c>
      <c r="N355" s="76">
        <v>11</v>
      </c>
      <c r="O355" s="76">
        <v>11</v>
      </c>
      <c r="P355" s="102">
        <v>11</v>
      </c>
      <c r="Q355" s="74" t="s">
        <v>613</v>
      </c>
      <c r="R355" s="74" t="s">
        <v>613</v>
      </c>
      <c r="S355" s="74" t="s">
        <v>613</v>
      </c>
      <c r="T355" s="113" t="s">
        <v>613</v>
      </c>
      <c r="U355" s="113" t="s">
        <v>613</v>
      </c>
    </row>
    <row r="356" spans="1:23" s="43" customFormat="1" x14ac:dyDescent="0.25">
      <c r="A356" s="15"/>
      <c r="B356" s="15">
        <v>421268</v>
      </c>
      <c r="C356" s="16" t="s">
        <v>890</v>
      </c>
      <c r="D356" s="173"/>
      <c r="E356" s="185"/>
      <c r="F356" s="185"/>
      <c r="G356" s="42"/>
      <c r="H356" s="42"/>
      <c r="I356" s="42"/>
      <c r="J356" s="8"/>
      <c r="K356" s="98"/>
      <c r="L356" s="103">
        <v>41</v>
      </c>
      <c r="M356" s="77">
        <v>41</v>
      </c>
      <c r="N356" s="76">
        <v>41</v>
      </c>
      <c r="O356" s="76">
        <v>41</v>
      </c>
      <c r="P356" s="102">
        <v>41</v>
      </c>
      <c r="Q356" s="74" t="s">
        <v>683</v>
      </c>
      <c r="R356" s="74" t="s">
        <v>683</v>
      </c>
      <c r="S356" s="74" t="s">
        <v>683</v>
      </c>
      <c r="T356" s="113" t="s">
        <v>683</v>
      </c>
      <c r="U356" s="113" t="s">
        <v>683</v>
      </c>
      <c r="V356" s="41"/>
      <c r="W356" s="41"/>
    </row>
    <row r="357" spans="1:23" s="41" customFormat="1" x14ac:dyDescent="0.25">
      <c r="A357" s="15"/>
      <c r="B357" s="15">
        <v>42124</v>
      </c>
      <c r="C357" s="169" t="s">
        <v>743</v>
      </c>
      <c r="D357" s="170"/>
      <c r="E357" s="185">
        <v>41204.730000000003</v>
      </c>
      <c r="F357" s="185">
        <v>220143.12</v>
      </c>
      <c r="G357" s="42">
        <v>150000</v>
      </c>
      <c r="H357" s="42">
        <v>150000</v>
      </c>
      <c r="I357" s="42">
        <v>220143.12</v>
      </c>
      <c r="J357" s="8">
        <f>IFERROR(SUM(H357/E357),0)*100</f>
        <v>364.03587646369726</v>
      </c>
      <c r="K357" s="98">
        <f t="shared" si="152"/>
        <v>100</v>
      </c>
      <c r="L357" s="103">
        <v>41</v>
      </c>
      <c r="M357" s="77">
        <v>41</v>
      </c>
      <c r="N357" s="76">
        <v>41</v>
      </c>
      <c r="O357" s="76">
        <v>41</v>
      </c>
      <c r="P357" s="102">
        <v>41</v>
      </c>
      <c r="Q357" s="74" t="s">
        <v>671</v>
      </c>
      <c r="R357" s="74" t="s">
        <v>671</v>
      </c>
      <c r="S357" s="74" t="s">
        <v>671</v>
      </c>
      <c r="T357" s="112" t="s">
        <v>671</v>
      </c>
      <c r="U357" s="112" t="s">
        <v>671</v>
      </c>
      <c r="V357" s="43"/>
      <c r="W357" s="43"/>
    </row>
    <row r="358" spans="1:23" s="43" customFormat="1" x14ac:dyDescent="0.25">
      <c r="A358" s="15">
        <v>234</v>
      </c>
      <c r="B358" s="15"/>
      <c r="C358" s="16" t="s">
        <v>110</v>
      </c>
      <c r="D358" s="45"/>
      <c r="E358" s="185"/>
      <c r="F358" s="185"/>
      <c r="G358" s="42">
        <v>50000</v>
      </c>
      <c r="H358" s="42"/>
      <c r="I358" s="42"/>
      <c r="J358" s="8">
        <f>IFERROR(SUM(H358/E358),0)*100</f>
        <v>0</v>
      </c>
      <c r="K358" s="98">
        <f t="shared" si="152"/>
        <v>0</v>
      </c>
      <c r="L358" s="103">
        <v>11</v>
      </c>
      <c r="M358" s="77">
        <v>11</v>
      </c>
      <c r="N358" s="76">
        <v>11</v>
      </c>
      <c r="O358" s="76">
        <v>11</v>
      </c>
      <c r="P358" s="102">
        <v>11</v>
      </c>
      <c r="Q358" s="74" t="s">
        <v>669</v>
      </c>
      <c r="R358" s="74" t="s">
        <v>669</v>
      </c>
      <c r="S358" s="74" t="s">
        <v>669</v>
      </c>
      <c r="T358" s="113" t="s">
        <v>669</v>
      </c>
      <c r="U358" s="113" t="s">
        <v>669</v>
      </c>
    </row>
    <row r="359" spans="1:23" s="43" customFormat="1" x14ac:dyDescent="0.25">
      <c r="A359" s="15"/>
      <c r="B359" s="15"/>
      <c r="C359" s="16" t="s">
        <v>912</v>
      </c>
      <c r="D359" s="45"/>
      <c r="E359" s="185"/>
      <c r="F359" s="185"/>
      <c r="G359" s="42">
        <v>50000</v>
      </c>
      <c r="H359" s="42"/>
      <c r="I359" s="42"/>
      <c r="J359" s="8"/>
      <c r="K359" s="98">
        <f t="shared" si="152"/>
        <v>0</v>
      </c>
      <c r="L359" s="103">
        <v>11</v>
      </c>
      <c r="M359" s="77">
        <v>11</v>
      </c>
      <c r="N359" s="76">
        <v>11</v>
      </c>
      <c r="O359" s="76">
        <v>11</v>
      </c>
      <c r="P359" s="102">
        <v>11</v>
      </c>
      <c r="Q359" s="74" t="s">
        <v>669</v>
      </c>
      <c r="R359" s="74" t="s">
        <v>669</v>
      </c>
      <c r="S359" s="74" t="s">
        <v>669</v>
      </c>
      <c r="T359" s="113" t="s">
        <v>669</v>
      </c>
      <c r="U359" s="113" t="s">
        <v>669</v>
      </c>
    </row>
    <row r="360" spans="1:23" s="43" customFormat="1" x14ac:dyDescent="0.25">
      <c r="A360" s="15"/>
      <c r="B360" s="15"/>
      <c r="C360" s="16" t="s">
        <v>439</v>
      </c>
      <c r="D360" s="45"/>
      <c r="E360" s="185"/>
      <c r="F360" s="185"/>
      <c r="G360" s="42"/>
      <c r="H360" s="42"/>
      <c r="I360" s="42"/>
      <c r="J360" s="8">
        <f t="shared" ref="J360:J368" si="167">IFERROR(SUM(H360/E360),0)*100</f>
        <v>0</v>
      </c>
      <c r="K360" s="98">
        <f t="shared" si="152"/>
        <v>0</v>
      </c>
      <c r="L360" s="103">
        <v>41</v>
      </c>
      <c r="M360" s="77">
        <v>41</v>
      </c>
      <c r="N360" s="76">
        <v>41</v>
      </c>
      <c r="O360" s="76">
        <v>41</v>
      </c>
      <c r="P360" s="102">
        <v>41</v>
      </c>
      <c r="Q360" s="74" t="s">
        <v>627</v>
      </c>
      <c r="R360" s="74" t="s">
        <v>627</v>
      </c>
      <c r="S360" s="74" t="s">
        <v>627</v>
      </c>
      <c r="T360" s="113" t="s">
        <v>627</v>
      </c>
      <c r="U360" s="113" t="s">
        <v>627</v>
      </c>
      <c r="V360" s="36"/>
      <c r="W360" s="36"/>
    </row>
    <row r="361" spans="1:23" s="36" customFormat="1" ht="27" customHeight="1" x14ac:dyDescent="0.25">
      <c r="A361" s="15"/>
      <c r="B361" s="15"/>
      <c r="C361" s="16" t="s">
        <v>744</v>
      </c>
      <c r="D361" s="45"/>
      <c r="E361" s="185"/>
      <c r="F361" s="185"/>
      <c r="G361" s="42"/>
      <c r="H361" s="42"/>
      <c r="I361" s="42"/>
      <c r="J361" s="8">
        <f t="shared" si="167"/>
        <v>0</v>
      </c>
      <c r="K361" s="98">
        <f t="shared" si="152"/>
        <v>0</v>
      </c>
      <c r="L361" s="103">
        <v>41</v>
      </c>
      <c r="M361" s="77">
        <v>41</v>
      </c>
      <c r="N361" s="76">
        <v>41</v>
      </c>
      <c r="O361" s="76">
        <v>41</v>
      </c>
      <c r="P361" s="102">
        <v>41</v>
      </c>
      <c r="Q361" s="74" t="s">
        <v>613</v>
      </c>
      <c r="R361" s="74" t="s">
        <v>613</v>
      </c>
      <c r="S361" s="74" t="s">
        <v>613</v>
      </c>
      <c r="T361" s="109" t="s">
        <v>613</v>
      </c>
      <c r="U361" s="109" t="s">
        <v>613</v>
      </c>
      <c r="V361" s="41"/>
      <c r="W361" s="41"/>
    </row>
    <row r="362" spans="1:23" s="41" customFormat="1" x14ac:dyDescent="0.25">
      <c r="A362" s="37"/>
      <c r="B362" s="37">
        <v>4213</v>
      </c>
      <c r="C362" s="38" t="s">
        <v>360</v>
      </c>
      <c r="D362" s="39">
        <f t="shared" ref="D362:I362" si="168">SUM(D363:D363)</f>
        <v>0</v>
      </c>
      <c r="E362" s="184">
        <f t="shared" si="168"/>
        <v>0</v>
      </c>
      <c r="F362" s="184">
        <f t="shared" si="168"/>
        <v>86149.24</v>
      </c>
      <c r="G362" s="39">
        <f t="shared" si="168"/>
        <v>100000</v>
      </c>
      <c r="H362" s="39">
        <f t="shared" si="168"/>
        <v>150000</v>
      </c>
      <c r="I362" s="39">
        <f t="shared" si="168"/>
        <v>86149.24</v>
      </c>
      <c r="J362" s="8">
        <f t="shared" si="167"/>
        <v>0</v>
      </c>
      <c r="K362" s="98">
        <f t="shared" si="152"/>
        <v>150</v>
      </c>
      <c r="V362" s="25"/>
      <c r="W362" s="25"/>
    </row>
    <row r="363" spans="1:23" x14ac:dyDescent="0.25">
      <c r="A363" s="15">
        <v>235</v>
      </c>
      <c r="B363" s="15">
        <v>421311</v>
      </c>
      <c r="C363" s="16" t="s">
        <v>361</v>
      </c>
      <c r="D363" s="45"/>
      <c r="E363" s="185"/>
      <c r="F363" s="185">
        <v>86149.24</v>
      </c>
      <c r="G363" s="42">
        <v>100000</v>
      </c>
      <c r="H363" s="42">
        <v>150000</v>
      </c>
      <c r="I363" s="42">
        <v>86149.24</v>
      </c>
      <c r="J363" s="8">
        <f t="shared" si="167"/>
        <v>0</v>
      </c>
      <c r="K363" s="98">
        <f t="shared" si="152"/>
        <v>150</v>
      </c>
      <c r="L363" s="103">
        <v>11</v>
      </c>
      <c r="M363" s="77">
        <v>11</v>
      </c>
      <c r="N363" s="76">
        <v>11</v>
      </c>
      <c r="O363" s="76">
        <v>11</v>
      </c>
      <c r="P363" s="102">
        <v>11</v>
      </c>
      <c r="Q363" s="74" t="s">
        <v>615</v>
      </c>
      <c r="R363" s="74" t="s">
        <v>615</v>
      </c>
      <c r="S363" s="74" t="s">
        <v>615</v>
      </c>
      <c r="T363" s="109" t="s">
        <v>615</v>
      </c>
      <c r="U363" s="109" t="s">
        <v>615</v>
      </c>
      <c r="V363" s="43"/>
      <c r="W363" s="43"/>
    </row>
    <row r="364" spans="1:23" s="43" customFormat="1" x14ac:dyDescent="0.25">
      <c r="A364" s="15"/>
      <c r="B364" s="15"/>
      <c r="C364" s="16"/>
      <c r="D364" s="45"/>
      <c r="E364" s="185"/>
      <c r="F364" s="185"/>
      <c r="G364" s="42"/>
      <c r="H364" s="42"/>
      <c r="I364" s="42"/>
      <c r="J364" s="8">
        <f t="shared" si="167"/>
        <v>0</v>
      </c>
      <c r="K364" s="98">
        <f t="shared" si="152"/>
        <v>0</v>
      </c>
      <c r="L364" s="103">
        <v>41</v>
      </c>
      <c r="M364" s="77">
        <v>41</v>
      </c>
      <c r="N364" s="76">
        <v>41</v>
      </c>
      <c r="O364" s="76">
        <v>41</v>
      </c>
      <c r="P364" s="102">
        <v>41</v>
      </c>
      <c r="Q364" s="74"/>
      <c r="R364" s="74"/>
      <c r="S364" s="74"/>
      <c r="T364" s="113"/>
      <c r="U364" s="113"/>
      <c r="V364" s="25"/>
      <c r="W364" s="25"/>
    </row>
    <row r="365" spans="1:23" x14ac:dyDescent="0.25">
      <c r="A365" s="15"/>
      <c r="B365" s="15"/>
      <c r="C365" s="16"/>
      <c r="D365" s="45"/>
      <c r="E365" s="185"/>
      <c r="F365" s="185"/>
      <c r="G365" s="42"/>
      <c r="H365" s="42"/>
      <c r="I365" s="42"/>
      <c r="J365" s="8">
        <f t="shared" si="167"/>
        <v>0</v>
      </c>
      <c r="K365" s="98">
        <f t="shared" si="152"/>
        <v>0</v>
      </c>
      <c r="L365" s="103">
        <v>41</v>
      </c>
      <c r="M365" s="77">
        <v>61</v>
      </c>
      <c r="N365" s="76">
        <v>41</v>
      </c>
      <c r="O365" s="76">
        <v>41</v>
      </c>
      <c r="P365" s="102">
        <v>41</v>
      </c>
      <c r="V365" s="41"/>
      <c r="W365" s="41"/>
    </row>
    <row r="366" spans="1:23" s="41" customFormat="1" x14ac:dyDescent="0.25">
      <c r="A366" s="37"/>
      <c r="B366" s="37">
        <v>4214</v>
      </c>
      <c r="C366" s="38" t="s">
        <v>362</v>
      </c>
      <c r="D366" s="39">
        <f t="shared" ref="D366:I366" si="169">SUM(D367:D370)</f>
        <v>0</v>
      </c>
      <c r="E366" s="184">
        <f>SUM(E367:E370)</f>
        <v>64252.08</v>
      </c>
      <c r="F366" s="184">
        <f t="shared" ref="F366" si="170">SUM(F367:F370)</f>
        <v>97197.07</v>
      </c>
      <c r="G366" s="39">
        <f t="shared" si="169"/>
        <v>57000</v>
      </c>
      <c r="H366" s="39">
        <f>SUM(H367:H370)</f>
        <v>103500</v>
      </c>
      <c r="I366" s="39">
        <f t="shared" si="169"/>
        <v>97197.07</v>
      </c>
      <c r="J366" s="8">
        <f t="shared" si="167"/>
        <v>161.08427929492711</v>
      </c>
      <c r="K366" s="98">
        <f t="shared" si="152"/>
        <v>181.57894736842107</v>
      </c>
      <c r="V366" s="43"/>
      <c r="W366" s="43"/>
    </row>
    <row r="367" spans="1:23" s="43" customFormat="1" x14ac:dyDescent="0.25">
      <c r="A367" s="15">
        <v>236</v>
      </c>
      <c r="B367" s="15">
        <v>421411</v>
      </c>
      <c r="C367" s="16" t="s">
        <v>392</v>
      </c>
      <c r="D367" s="45"/>
      <c r="E367" s="185"/>
      <c r="F367" s="185"/>
      <c r="G367" s="42">
        <v>13500</v>
      </c>
      <c r="H367" s="42"/>
      <c r="I367" s="42"/>
      <c r="J367" s="8">
        <f t="shared" si="167"/>
        <v>0</v>
      </c>
      <c r="K367" s="98">
        <f t="shared" si="152"/>
        <v>0</v>
      </c>
      <c r="L367" s="103">
        <v>11</v>
      </c>
      <c r="M367" s="77">
        <v>11</v>
      </c>
      <c r="N367" s="76">
        <v>11</v>
      </c>
      <c r="O367" s="76">
        <v>11</v>
      </c>
      <c r="P367" s="102">
        <v>11</v>
      </c>
      <c r="Q367" s="74" t="s">
        <v>641</v>
      </c>
      <c r="R367" s="74" t="s">
        <v>641</v>
      </c>
      <c r="S367" s="74" t="s">
        <v>641</v>
      </c>
      <c r="T367" s="113" t="s">
        <v>641</v>
      </c>
      <c r="U367" s="113" t="s">
        <v>641</v>
      </c>
    </row>
    <row r="368" spans="1:23" s="43" customFormat="1" x14ac:dyDescent="0.25">
      <c r="A368" s="15">
        <v>237</v>
      </c>
      <c r="B368" s="15">
        <v>421414</v>
      </c>
      <c r="C368" s="16" t="s">
        <v>363</v>
      </c>
      <c r="D368" s="45"/>
      <c r="E368" s="185">
        <v>8695.09</v>
      </c>
      <c r="F368" s="185">
        <v>9454.7999999999993</v>
      </c>
      <c r="G368" s="42">
        <v>13500</v>
      </c>
      <c r="H368" s="42">
        <v>13500</v>
      </c>
      <c r="I368" s="42">
        <v>9454.7999999999993</v>
      </c>
      <c r="J368" s="8">
        <f t="shared" si="167"/>
        <v>155.26003756142833</v>
      </c>
      <c r="K368" s="98">
        <f t="shared" si="152"/>
        <v>100</v>
      </c>
      <c r="L368" s="103">
        <v>11</v>
      </c>
      <c r="M368" s="77">
        <v>11</v>
      </c>
      <c r="N368" s="76">
        <v>11</v>
      </c>
      <c r="O368" s="76">
        <v>11</v>
      </c>
      <c r="P368" s="102">
        <v>11</v>
      </c>
      <c r="Q368" s="74" t="s">
        <v>645</v>
      </c>
      <c r="R368" s="74" t="s">
        <v>645</v>
      </c>
      <c r="S368" s="74" t="s">
        <v>645</v>
      </c>
      <c r="T368" s="113" t="s">
        <v>645</v>
      </c>
      <c r="U368" s="113" t="s">
        <v>645</v>
      </c>
    </row>
    <row r="369" spans="1:23" s="254" customFormat="1" x14ac:dyDescent="0.25">
      <c r="A369" s="244"/>
      <c r="B369" s="244">
        <v>421415</v>
      </c>
      <c r="C369" s="245" t="s">
        <v>945</v>
      </c>
      <c r="D369" s="246"/>
      <c r="E369" s="185">
        <v>55556.99</v>
      </c>
      <c r="F369" s="185">
        <v>87742.27</v>
      </c>
      <c r="G369" s="42">
        <v>20000</v>
      </c>
      <c r="H369" s="42">
        <v>90000</v>
      </c>
      <c r="I369" s="42">
        <v>87742.27</v>
      </c>
      <c r="J369" s="182"/>
      <c r="K369" s="255"/>
      <c r="L369" s="103">
        <v>41</v>
      </c>
      <c r="M369" s="77">
        <v>41</v>
      </c>
      <c r="N369" s="76">
        <v>41</v>
      </c>
      <c r="O369" s="76">
        <v>41</v>
      </c>
      <c r="P369" s="102">
        <v>41</v>
      </c>
      <c r="Q369" s="74" t="s">
        <v>651</v>
      </c>
      <c r="R369" s="74" t="s">
        <v>651</v>
      </c>
      <c r="S369" s="74" t="s">
        <v>651</v>
      </c>
      <c r="T369" s="113" t="s">
        <v>651</v>
      </c>
      <c r="U369" s="113" t="s">
        <v>651</v>
      </c>
    </row>
    <row r="370" spans="1:23" s="43" customFormat="1" x14ac:dyDescent="0.25">
      <c r="A370" s="15"/>
      <c r="B370" s="15">
        <v>421461</v>
      </c>
      <c r="C370" s="16" t="s">
        <v>871</v>
      </c>
      <c r="D370" s="45"/>
      <c r="E370" s="185"/>
      <c r="F370" s="185"/>
      <c r="G370" s="42">
        <v>10000</v>
      </c>
      <c r="H370" s="42"/>
      <c r="I370" s="42"/>
      <c r="J370" s="8"/>
      <c r="K370" s="98"/>
      <c r="L370" s="103">
        <v>21</v>
      </c>
      <c r="M370" s="77">
        <v>21</v>
      </c>
      <c r="N370" s="76">
        <v>21</v>
      </c>
      <c r="O370" s="76">
        <v>21</v>
      </c>
      <c r="P370" s="102">
        <v>21</v>
      </c>
      <c r="Q370" s="74" t="s">
        <v>671</v>
      </c>
      <c r="R370" s="74" t="s">
        <v>671</v>
      </c>
      <c r="S370" s="74" t="s">
        <v>671</v>
      </c>
      <c r="T370" s="112" t="s">
        <v>671</v>
      </c>
      <c r="U370" s="112" t="s">
        <v>671</v>
      </c>
      <c r="V370" s="41"/>
      <c r="W370" s="41"/>
    </row>
    <row r="371" spans="1:23" s="41" customFormat="1" x14ac:dyDescent="0.25">
      <c r="A371" s="11"/>
      <c r="B371" s="11">
        <v>422</v>
      </c>
      <c r="C371" s="12" t="s">
        <v>364</v>
      </c>
      <c r="D371" s="35">
        <f t="shared" ref="D371:I371" si="171">SUM(D372+D377+D380)</f>
        <v>0</v>
      </c>
      <c r="E371" s="183">
        <f>SUM(E372+E377+E380)</f>
        <v>41476.229999999996</v>
      </c>
      <c r="F371" s="183">
        <f t="shared" ref="F371" si="172">SUM(F372+F377+F380)</f>
        <v>157619.61000000002</v>
      </c>
      <c r="G371" s="35">
        <f t="shared" si="171"/>
        <v>84500</v>
      </c>
      <c r="H371" s="35">
        <f>SUM(H372+H377+H380)</f>
        <v>150000</v>
      </c>
      <c r="I371" s="35">
        <f t="shared" si="171"/>
        <v>157619.61000000002</v>
      </c>
      <c r="J371" s="8">
        <f>IFERROR(SUM(H371/E371),0)*100</f>
        <v>361.65292747195201</v>
      </c>
      <c r="K371" s="98">
        <f t="shared" si="152"/>
        <v>177.51479289940829</v>
      </c>
      <c r="L371" s="103"/>
      <c r="M371" s="77"/>
      <c r="N371" s="76"/>
      <c r="O371" s="76"/>
      <c r="P371" s="102"/>
      <c r="Q371" s="74"/>
      <c r="R371" s="74"/>
      <c r="S371" s="74"/>
      <c r="T371" s="113"/>
      <c r="U371" s="113"/>
      <c r="V371" s="43"/>
      <c r="W371" s="43"/>
    </row>
    <row r="372" spans="1:23" s="43" customFormat="1" x14ac:dyDescent="0.25">
      <c r="A372" s="37"/>
      <c r="B372" s="37">
        <v>4221</v>
      </c>
      <c r="C372" s="38" t="s">
        <v>365</v>
      </c>
      <c r="D372" s="40">
        <f t="shared" ref="D372:I372" si="173">SUM(D373:D376)</f>
        <v>0</v>
      </c>
      <c r="E372" s="187">
        <f>SUM(E373:E376)</f>
        <v>5351.05</v>
      </c>
      <c r="F372" s="187">
        <f t="shared" ref="F372" si="174">SUM(F373:F376)</f>
        <v>5891.6</v>
      </c>
      <c r="G372" s="40">
        <f t="shared" si="173"/>
        <v>18500</v>
      </c>
      <c r="H372" s="40">
        <f>SUM(H373:H376)</f>
        <v>10000</v>
      </c>
      <c r="I372" s="40">
        <f t="shared" si="173"/>
        <v>5891.6</v>
      </c>
      <c r="J372" s="8">
        <f>IFERROR(SUM(H372/E372),0)*100</f>
        <v>186.87921062221434</v>
      </c>
      <c r="K372" s="98">
        <f t="shared" si="152"/>
        <v>54.054054054054056</v>
      </c>
    </row>
    <row r="373" spans="1:23" s="43" customFormat="1" x14ac:dyDescent="0.25">
      <c r="A373" s="20">
        <v>238</v>
      </c>
      <c r="B373" s="20">
        <v>42211</v>
      </c>
      <c r="C373" s="21" t="s">
        <v>366</v>
      </c>
      <c r="D373" s="155"/>
      <c r="E373" s="185">
        <v>2661.75</v>
      </c>
      <c r="F373" s="185">
        <v>3202.3</v>
      </c>
      <c r="G373" s="42">
        <v>5500</v>
      </c>
      <c r="H373" s="42">
        <v>5500</v>
      </c>
      <c r="I373" s="42">
        <v>3202.3</v>
      </c>
      <c r="J373" s="8">
        <f>IFERROR(SUM(H373/E373),0)*100</f>
        <v>206.6309758617451</v>
      </c>
      <c r="K373" s="98">
        <f t="shared" si="152"/>
        <v>100</v>
      </c>
      <c r="L373" s="103">
        <v>11</v>
      </c>
      <c r="M373" s="77">
        <v>11</v>
      </c>
      <c r="N373" s="76">
        <v>11</v>
      </c>
      <c r="O373" s="76">
        <v>11</v>
      </c>
      <c r="P373" s="102">
        <v>11</v>
      </c>
      <c r="Q373" s="74" t="s">
        <v>563</v>
      </c>
      <c r="R373" s="74" t="s">
        <v>563</v>
      </c>
      <c r="S373" s="74" t="s">
        <v>563</v>
      </c>
      <c r="T373" s="113" t="s">
        <v>563</v>
      </c>
      <c r="U373" s="113" t="s">
        <v>563</v>
      </c>
    </row>
    <row r="374" spans="1:23" s="43" customFormat="1" x14ac:dyDescent="0.25">
      <c r="A374" s="20"/>
      <c r="B374" s="20">
        <v>42212</v>
      </c>
      <c r="C374" s="21" t="s">
        <v>872</v>
      </c>
      <c r="D374" s="155"/>
      <c r="E374" s="185"/>
      <c r="F374" s="185"/>
      <c r="G374" s="42"/>
      <c r="H374" s="42"/>
      <c r="I374" s="42"/>
      <c r="J374" s="8"/>
      <c r="K374" s="98"/>
      <c r="L374" s="103">
        <v>11</v>
      </c>
      <c r="M374" s="77">
        <v>11</v>
      </c>
      <c r="N374" s="76">
        <v>11</v>
      </c>
      <c r="O374" s="76">
        <v>11</v>
      </c>
      <c r="P374" s="102">
        <v>11</v>
      </c>
      <c r="Q374" s="74" t="s">
        <v>563</v>
      </c>
      <c r="R374" s="74" t="s">
        <v>563</v>
      </c>
      <c r="S374" s="74" t="s">
        <v>563</v>
      </c>
      <c r="T374" s="113" t="s">
        <v>563</v>
      </c>
      <c r="U374" s="113" t="s">
        <v>563</v>
      </c>
    </row>
    <row r="375" spans="1:23" s="43" customFormat="1" x14ac:dyDescent="0.25">
      <c r="A375" s="15">
        <v>239</v>
      </c>
      <c r="B375" s="15">
        <v>42219</v>
      </c>
      <c r="C375" s="16" t="s">
        <v>367</v>
      </c>
      <c r="D375" s="45"/>
      <c r="E375" s="185"/>
      <c r="F375" s="185"/>
      <c r="G375" s="42">
        <v>6500</v>
      </c>
      <c r="H375" s="42">
        <v>1500</v>
      </c>
      <c r="I375" s="42"/>
      <c r="J375" s="8">
        <f t="shared" ref="J375:J381" si="175">IFERROR(SUM(H375/E375),0)*100</f>
        <v>0</v>
      </c>
      <c r="K375" s="98">
        <f t="shared" si="152"/>
        <v>23.076923076923077</v>
      </c>
      <c r="L375" s="103">
        <v>11</v>
      </c>
      <c r="M375" s="77">
        <v>11</v>
      </c>
      <c r="N375" s="76">
        <v>11</v>
      </c>
      <c r="O375" s="76">
        <v>11</v>
      </c>
      <c r="P375" s="102">
        <v>11</v>
      </c>
      <c r="Q375" s="74" t="s">
        <v>563</v>
      </c>
      <c r="R375" s="74" t="s">
        <v>563</v>
      </c>
      <c r="S375" s="74" t="s">
        <v>563</v>
      </c>
      <c r="T375" s="113" t="s">
        <v>563</v>
      </c>
      <c r="U375" s="113" t="s">
        <v>563</v>
      </c>
    </row>
    <row r="376" spans="1:23" s="43" customFormat="1" x14ac:dyDescent="0.25">
      <c r="A376" s="20">
        <v>240</v>
      </c>
      <c r="B376" s="20">
        <v>42222</v>
      </c>
      <c r="C376" s="21" t="s">
        <v>368</v>
      </c>
      <c r="D376" s="155"/>
      <c r="E376" s="185">
        <v>2689.3</v>
      </c>
      <c r="F376" s="185">
        <v>2689.3</v>
      </c>
      <c r="G376" s="42">
        <v>6500</v>
      </c>
      <c r="H376" s="42">
        <v>3000</v>
      </c>
      <c r="I376" s="42">
        <v>2689.3</v>
      </c>
      <c r="J376" s="8">
        <f t="shared" si="175"/>
        <v>111.55319228051907</v>
      </c>
      <c r="K376" s="98">
        <f t="shared" si="152"/>
        <v>46.153846153846153</v>
      </c>
      <c r="L376" s="103">
        <v>11</v>
      </c>
      <c r="M376" s="77">
        <v>11</v>
      </c>
      <c r="N376" s="76">
        <v>11</v>
      </c>
      <c r="O376" s="76">
        <v>11</v>
      </c>
      <c r="P376" s="102">
        <v>11</v>
      </c>
      <c r="Q376" s="74" t="s">
        <v>617</v>
      </c>
      <c r="R376" s="74" t="s">
        <v>617</v>
      </c>
      <c r="S376" s="74" t="s">
        <v>617</v>
      </c>
      <c r="T376" s="113" t="s">
        <v>617</v>
      </c>
      <c r="U376" s="113" t="s">
        <v>617</v>
      </c>
    </row>
    <row r="377" spans="1:23" s="43" customFormat="1" x14ac:dyDescent="0.25">
      <c r="A377" s="37"/>
      <c r="B377" s="37">
        <v>4223</v>
      </c>
      <c r="C377" s="38" t="s">
        <v>369</v>
      </c>
      <c r="D377" s="40">
        <f t="shared" ref="D377:I377" si="176">SUM(D378:D379)</f>
        <v>0</v>
      </c>
      <c r="E377" s="187">
        <f>SUM(E378:E379)</f>
        <v>0</v>
      </c>
      <c r="F377" s="187">
        <f t="shared" ref="F377" si="177">SUM(F378:F379)</f>
        <v>1349.99</v>
      </c>
      <c r="G377" s="40">
        <f t="shared" si="176"/>
        <v>3000</v>
      </c>
      <c r="H377" s="40">
        <f>SUM(H378:H379)</f>
        <v>2000</v>
      </c>
      <c r="I377" s="40">
        <f t="shared" si="176"/>
        <v>1349.99</v>
      </c>
      <c r="J377" s="8">
        <f t="shared" si="175"/>
        <v>0</v>
      </c>
      <c r="K377" s="98">
        <f t="shared" si="152"/>
        <v>66.666666666666657</v>
      </c>
      <c r="V377" s="36"/>
      <c r="W377" s="36"/>
    </row>
    <row r="378" spans="1:23" s="36" customFormat="1" ht="29.25" customHeight="1" x14ac:dyDescent="0.25">
      <c r="A378" s="15">
        <v>241</v>
      </c>
      <c r="B378" s="15">
        <v>42231</v>
      </c>
      <c r="C378" s="16" t="s">
        <v>370</v>
      </c>
      <c r="D378" s="45"/>
      <c r="E378" s="185"/>
      <c r="F378" s="185">
        <v>1349.99</v>
      </c>
      <c r="G378" s="42">
        <v>1500</v>
      </c>
      <c r="H378" s="42">
        <v>2000</v>
      </c>
      <c r="I378" s="42">
        <v>1349.99</v>
      </c>
      <c r="J378" s="8">
        <f t="shared" si="175"/>
        <v>0</v>
      </c>
      <c r="K378" s="98">
        <f t="shared" si="152"/>
        <v>133.33333333333331</v>
      </c>
      <c r="L378" s="103">
        <v>11</v>
      </c>
      <c r="M378" s="77">
        <v>11</v>
      </c>
      <c r="N378" s="76">
        <v>11</v>
      </c>
      <c r="O378" s="76">
        <v>11</v>
      </c>
      <c r="P378" s="102">
        <v>11</v>
      </c>
      <c r="Q378" s="74" t="s">
        <v>563</v>
      </c>
      <c r="R378" s="74" t="s">
        <v>563</v>
      </c>
      <c r="S378" s="74" t="s">
        <v>563</v>
      </c>
      <c r="T378" s="112" t="s">
        <v>563</v>
      </c>
      <c r="U378" s="112" t="s">
        <v>563</v>
      </c>
      <c r="V378" s="41"/>
      <c r="W378" s="41"/>
    </row>
    <row r="379" spans="1:23" s="41" customFormat="1" x14ac:dyDescent="0.25">
      <c r="A379" s="20">
        <v>242</v>
      </c>
      <c r="B379" s="15">
        <v>42234</v>
      </c>
      <c r="C379" s="16" t="s">
        <v>371</v>
      </c>
      <c r="D379" s="45"/>
      <c r="E379" s="185"/>
      <c r="F379" s="185"/>
      <c r="G379" s="42">
        <v>1500</v>
      </c>
      <c r="H379" s="42"/>
      <c r="I379" s="42"/>
      <c r="J379" s="8">
        <f t="shared" si="175"/>
        <v>0</v>
      </c>
      <c r="K379" s="98">
        <f t="shared" si="152"/>
        <v>0</v>
      </c>
      <c r="L379" s="103">
        <v>11</v>
      </c>
      <c r="M379" s="77">
        <v>11</v>
      </c>
      <c r="N379" s="76">
        <v>11</v>
      </c>
      <c r="O379" s="76">
        <v>11</v>
      </c>
      <c r="P379" s="102">
        <v>11</v>
      </c>
      <c r="Q379" s="74" t="s">
        <v>563</v>
      </c>
      <c r="R379" s="74" t="s">
        <v>563</v>
      </c>
      <c r="S379" s="74" t="s">
        <v>563</v>
      </c>
      <c r="T379" s="112" t="s">
        <v>563</v>
      </c>
      <c r="U379" s="112" t="s">
        <v>563</v>
      </c>
    </row>
    <row r="380" spans="1:23" s="41" customFormat="1" x14ac:dyDescent="0.25">
      <c r="A380" s="37"/>
      <c r="B380" s="37">
        <v>4225</v>
      </c>
      <c r="C380" s="38" t="s">
        <v>372</v>
      </c>
      <c r="D380" s="40">
        <f>SUM(D381:D385)</f>
        <v>0</v>
      </c>
      <c r="E380" s="187">
        <f>SUM(E381:E385)</f>
        <v>36125.179999999993</v>
      </c>
      <c r="F380" s="187">
        <f>SUM(F381:F385)</f>
        <v>150378.02000000002</v>
      </c>
      <c r="G380" s="40">
        <f>SUM(G381:G386)</f>
        <v>63000</v>
      </c>
      <c r="H380" s="40">
        <f>SUM(H381:H386)</f>
        <v>138000</v>
      </c>
      <c r="I380" s="40">
        <f>SUM(I381:I385)</f>
        <v>150378.02000000002</v>
      </c>
      <c r="J380" s="8">
        <f t="shared" si="175"/>
        <v>382.00501699922336</v>
      </c>
      <c r="K380" s="98">
        <f t="shared" si="152"/>
        <v>219.04761904761907</v>
      </c>
      <c r="V380" s="25"/>
      <c r="W380" s="25"/>
    </row>
    <row r="381" spans="1:23" x14ac:dyDescent="0.25">
      <c r="A381" s="15">
        <v>244</v>
      </c>
      <c r="B381" s="15">
        <v>42259</v>
      </c>
      <c r="C381" s="16" t="s">
        <v>373</v>
      </c>
      <c r="D381" s="45"/>
      <c r="E381" s="185">
        <v>3734.38</v>
      </c>
      <c r="F381" s="185">
        <v>26996.63</v>
      </c>
      <c r="G381" s="42">
        <v>10000</v>
      </c>
      <c r="H381" s="42">
        <v>30000</v>
      </c>
      <c r="I381" s="42">
        <v>26996.63</v>
      </c>
      <c r="J381" s="8">
        <f t="shared" si="175"/>
        <v>803.34620472474683</v>
      </c>
      <c r="K381" s="98">
        <f t="shared" si="152"/>
        <v>300</v>
      </c>
      <c r="L381" s="103">
        <v>11</v>
      </c>
      <c r="M381" s="77">
        <v>11</v>
      </c>
      <c r="N381" s="76">
        <v>11</v>
      </c>
      <c r="O381" s="76">
        <v>11</v>
      </c>
      <c r="P381" s="102">
        <v>11</v>
      </c>
      <c r="Q381" s="74" t="s">
        <v>563</v>
      </c>
      <c r="R381" s="74" t="s">
        <v>563</v>
      </c>
      <c r="S381" s="74" t="s">
        <v>563</v>
      </c>
      <c r="T381" s="109" t="s">
        <v>563</v>
      </c>
      <c r="U381" s="109" t="s">
        <v>563</v>
      </c>
    </row>
    <row r="382" spans="1:23" x14ac:dyDescent="0.25">
      <c r="A382" s="15"/>
      <c r="B382" s="15"/>
      <c r="C382" s="16" t="s">
        <v>552</v>
      </c>
      <c r="D382" s="45"/>
      <c r="E382" s="185"/>
      <c r="F382" s="185"/>
      <c r="G382" s="42"/>
      <c r="H382" s="42"/>
      <c r="I382" s="42"/>
      <c r="J382" s="8"/>
      <c r="K382" s="98"/>
      <c r="L382" s="103">
        <v>11</v>
      </c>
      <c r="M382" s="77">
        <v>11</v>
      </c>
      <c r="N382" s="76">
        <v>11</v>
      </c>
      <c r="O382" s="76">
        <v>11</v>
      </c>
      <c r="P382" s="102">
        <v>11</v>
      </c>
    </row>
    <row r="383" spans="1:23" x14ac:dyDescent="0.25">
      <c r="A383" s="15">
        <v>245</v>
      </c>
      <c r="B383" s="15">
        <v>42271</v>
      </c>
      <c r="C383" s="16" t="s">
        <v>374</v>
      </c>
      <c r="D383" s="45"/>
      <c r="E383" s="185">
        <v>12365.63</v>
      </c>
      <c r="F383" s="185">
        <v>44351.26</v>
      </c>
      <c r="G383" s="42">
        <v>20000</v>
      </c>
      <c r="H383" s="42">
        <v>55000</v>
      </c>
      <c r="I383" s="42">
        <v>44351.26</v>
      </c>
      <c r="J383" s="8">
        <f>IFERROR(SUM(H383/E383),0)*100</f>
        <v>444.78122020471267</v>
      </c>
      <c r="K383" s="98">
        <f t="shared" si="152"/>
        <v>275</v>
      </c>
      <c r="L383" s="103">
        <v>11</v>
      </c>
      <c r="M383" s="77">
        <v>11</v>
      </c>
      <c r="N383" s="76">
        <v>11</v>
      </c>
      <c r="O383" s="76">
        <v>11</v>
      </c>
      <c r="P383" s="102">
        <v>11</v>
      </c>
      <c r="Q383" s="74" t="s">
        <v>647</v>
      </c>
      <c r="R383" s="74" t="s">
        <v>647</v>
      </c>
      <c r="S383" s="74" t="s">
        <v>647</v>
      </c>
      <c r="T383" s="109" t="s">
        <v>647</v>
      </c>
      <c r="U383" s="109" t="s">
        <v>647</v>
      </c>
    </row>
    <row r="384" spans="1:23" x14ac:dyDescent="0.25">
      <c r="A384" s="15"/>
      <c r="B384" s="15">
        <v>42272</v>
      </c>
      <c r="C384" s="16" t="s">
        <v>873</v>
      </c>
      <c r="D384" s="45"/>
      <c r="E384" s="185"/>
      <c r="F384" s="185"/>
      <c r="G384" s="42"/>
      <c r="H384" s="42"/>
      <c r="I384" s="42"/>
      <c r="J384" s="8"/>
      <c r="K384" s="98">
        <f t="shared" si="152"/>
        <v>0</v>
      </c>
      <c r="L384" s="103">
        <v>11</v>
      </c>
      <c r="M384" s="77">
        <v>11</v>
      </c>
      <c r="N384" s="76">
        <v>11</v>
      </c>
      <c r="O384" s="76">
        <v>11</v>
      </c>
      <c r="P384" s="102">
        <v>11</v>
      </c>
      <c r="Q384" s="74" t="s">
        <v>631</v>
      </c>
      <c r="R384" s="74" t="s">
        <v>631</v>
      </c>
      <c r="S384" s="74" t="s">
        <v>631</v>
      </c>
      <c r="T384" s="109" t="s">
        <v>631</v>
      </c>
      <c r="U384" s="109" t="s">
        <v>631</v>
      </c>
    </row>
    <row r="385" spans="1:25" x14ac:dyDescent="0.25">
      <c r="A385" s="15">
        <v>246</v>
      </c>
      <c r="B385" s="15">
        <v>42273</v>
      </c>
      <c r="C385" s="16" t="s">
        <v>375</v>
      </c>
      <c r="D385" s="45"/>
      <c r="E385" s="185">
        <v>20025.169999999998</v>
      </c>
      <c r="F385" s="185">
        <v>79030.13</v>
      </c>
      <c r="G385" s="42">
        <v>33000</v>
      </c>
      <c r="H385" s="42">
        <v>53000</v>
      </c>
      <c r="I385" s="42">
        <v>79030.13</v>
      </c>
      <c r="J385" s="8">
        <f t="shared" ref="J385:J394" si="178">IFERROR(SUM(H385/E385),0)*100</f>
        <v>264.66691668535151</v>
      </c>
      <c r="K385" s="98">
        <f t="shared" si="152"/>
        <v>160.60606060606059</v>
      </c>
      <c r="L385" s="103">
        <v>11</v>
      </c>
      <c r="M385" s="77">
        <v>11</v>
      </c>
      <c r="N385" s="76">
        <v>11</v>
      </c>
      <c r="O385" s="76">
        <v>11</v>
      </c>
      <c r="P385" s="102">
        <v>11</v>
      </c>
      <c r="Q385" s="74" t="s">
        <v>563</v>
      </c>
      <c r="R385" s="74" t="s">
        <v>563</v>
      </c>
      <c r="S385" s="74" t="s">
        <v>563</v>
      </c>
      <c r="T385" s="109" t="s">
        <v>563</v>
      </c>
      <c r="U385" s="109" t="s">
        <v>563</v>
      </c>
    </row>
    <row r="386" spans="1:25" x14ac:dyDescent="0.25">
      <c r="A386" s="15">
        <v>247</v>
      </c>
      <c r="B386" s="15">
        <v>423</v>
      </c>
      <c r="C386" s="16" t="s">
        <v>104</v>
      </c>
      <c r="D386" s="45"/>
      <c r="E386" s="185"/>
      <c r="F386" s="185"/>
      <c r="G386" s="42"/>
      <c r="H386" s="42"/>
      <c r="I386" s="42"/>
      <c r="J386" s="8">
        <f t="shared" si="178"/>
        <v>0</v>
      </c>
      <c r="K386" s="98">
        <f t="shared" si="152"/>
        <v>0</v>
      </c>
      <c r="L386" s="103">
        <v>11</v>
      </c>
      <c r="M386" s="77">
        <v>11</v>
      </c>
      <c r="N386" s="76">
        <v>11</v>
      </c>
      <c r="O386" s="76">
        <v>11</v>
      </c>
      <c r="P386" s="102">
        <v>11</v>
      </c>
      <c r="Q386" s="74" t="s">
        <v>563</v>
      </c>
      <c r="R386" s="74" t="s">
        <v>563</v>
      </c>
      <c r="S386" s="74" t="s">
        <v>563</v>
      </c>
      <c r="T386" s="109" t="s">
        <v>563</v>
      </c>
      <c r="U386" s="109" t="s">
        <v>563</v>
      </c>
      <c r="V386" s="43"/>
      <c r="W386" s="43"/>
    </row>
    <row r="387" spans="1:25" s="43" customFormat="1" x14ac:dyDescent="0.25">
      <c r="A387" s="11"/>
      <c r="B387" s="11">
        <v>426</v>
      </c>
      <c r="C387" s="12" t="s">
        <v>800</v>
      </c>
      <c r="D387" s="35">
        <f t="shared" ref="D387:I387" si="179">SUM(D388)</f>
        <v>0</v>
      </c>
      <c r="E387" s="183">
        <f t="shared" si="179"/>
        <v>0</v>
      </c>
      <c r="F387" s="183">
        <f t="shared" si="179"/>
        <v>0</v>
      </c>
      <c r="G387" s="35">
        <f t="shared" si="179"/>
        <v>0</v>
      </c>
      <c r="H387" s="35">
        <f t="shared" si="179"/>
        <v>0</v>
      </c>
      <c r="I387" s="35">
        <f t="shared" si="179"/>
        <v>0</v>
      </c>
      <c r="J387" s="8">
        <f t="shared" si="178"/>
        <v>0</v>
      </c>
      <c r="K387" s="98">
        <f>IFERROR(SUM(H387/G387),0)*100</f>
        <v>0</v>
      </c>
      <c r="V387" s="25"/>
      <c r="W387" s="25"/>
    </row>
    <row r="388" spans="1:25" x14ac:dyDescent="0.25">
      <c r="A388" s="15"/>
      <c r="B388" s="15">
        <v>42631</v>
      </c>
      <c r="C388" s="16" t="s">
        <v>801</v>
      </c>
      <c r="D388" s="45"/>
      <c r="E388" s="185"/>
      <c r="F388" s="185"/>
      <c r="G388" s="42"/>
      <c r="H388" s="42"/>
      <c r="I388" s="42"/>
      <c r="J388" s="8">
        <f t="shared" si="178"/>
        <v>0</v>
      </c>
      <c r="K388" s="98">
        <f>IFERROR(SUM(H388/G388),0)*100</f>
        <v>0</v>
      </c>
      <c r="L388" s="103">
        <v>11</v>
      </c>
      <c r="M388" s="77">
        <v>11</v>
      </c>
      <c r="N388" s="76">
        <v>11</v>
      </c>
      <c r="O388" s="76">
        <v>11</v>
      </c>
      <c r="P388" s="102">
        <v>11</v>
      </c>
      <c r="Q388" s="74" t="s">
        <v>673</v>
      </c>
      <c r="R388" s="74" t="s">
        <v>673</v>
      </c>
      <c r="S388" s="74" t="s">
        <v>673</v>
      </c>
      <c r="T388" s="109" t="s">
        <v>673</v>
      </c>
      <c r="U388" s="109" t="s">
        <v>673</v>
      </c>
    </row>
    <row r="389" spans="1:25" ht="31.5" x14ac:dyDescent="0.25">
      <c r="A389" s="11"/>
      <c r="B389" s="11">
        <v>424</v>
      </c>
      <c r="C389" s="12" t="s">
        <v>376</v>
      </c>
      <c r="D389" s="35">
        <f t="shared" ref="D389:I389" si="180">SUM(D390:D391)</f>
        <v>0</v>
      </c>
      <c r="E389" s="183">
        <f>SUM(E390:E391)</f>
        <v>0</v>
      </c>
      <c r="F389" s="183">
        <f t="shared" ref="F389" si="181">SUM(F390:F391)</f>
        <v>0</v>
      </c>
      <c r="G389" s="35">
        <f t="shared" si="180"/>
        <v>4000</v>
      </c>
      <c r="H389" s="35">
        <f>SUM(H390:H391)</f>
        <v>0</v>
      </c>
      <c r="I389" s="35">
        <f t="shared" si="180"/>
        <v>0</v>
      </c>
      <c r="J389" s="8">
        <f t="shared" si="178"/>
        <v>0</v>
      </c>
      <c r="K389" s="98">
        <f t="shared" si="152"/>
        <v>0</v>
      </c>
    </row>
    <row r="390" spans="1:25" x14ac:dyDescent="0.25">
      <c r="A390" s="37">
        <v>248</v>
      </c>
      <c r="B390" s="37">
        <v>42411</v>
      </c>
      <c r="C390" s="38" t="s">
        <v>377</v>
      </c>
      <c r="D390" s="47"/>
      <c r="E390" s="187"/>
      <c r="F390" s="187"/>
      <c r="G390" s="40"/>
      <c r="H390" s="40"/>
      <c r="I390" s="40"/>
      <c r="J390" s="8">
        <f t="shared" si="178"/>
        <v>0</v>
      </c>
      <c r="K390" s="98">
        <f t="shared" si="152"/>
        <v>0</v>
      </c>
      <c r="L390" s="103">
        <v>11</v>
      </c>
      <c r="M390" s="77">
        <v>11</v>
      </c>
      <c r="N390" s="76">
        <v>11</v>
      </c>
      <c r="O390" s="76">
        <v>11</v>
      </c>
      <c r="P390" s="102">
        <v>11</v>
      </c>
      <c r="Q390" s="74" t="s">
        <v>671</v>
      </c>
      <c r="R390" s="74" t="s">
        <v>671</v>
      </c>
      <c r="S390" s="74" t="s">
        <v>671</v>
      </c>
      <c r="T390" s="109" t="s">
        <v>671</v>
      </c>
      <c r="U390" s="109" t="s">
        <v>671</v>
      </c>
    </row>
    <row r="391" spans="1:25" x14ac:dyDescent="0.25">
      <c r="A391" s="37">
        <v>249</v>
      </c>
      <c r="B391" s="37">
        <v>42421</v>
      </c>
      <c r="C391" s="38" t="s">
        <v>393</v>
      </c>
      <c r="D391" s="47"/>
      <c r="E391" s="187"/>
      <c r="F391" s="187"/>
      <c r="G391" s="40">
        <v>4000</v>
      </c>
      <c r="H391" s="40"/>
      <c r="I391" s="40"/>
      <c r="J391" s="8">
        <f t="shared" si="178"/>
        <v>0</v>
      </c>
      <c r="K391" s="98">
        <f t="shared" si="152"/>
        <v>0</v>
      </c>
      <c r="L391" s="103">
        <v>11</v>
      </c>
      <c r="M391" s="77">
        <v>11</v>
      </c>
      <c r="N391" s="76">
        <v>11</v>
      </c>
      <c r="O391" s="76">
        <v>11</v>
      </c>
      <c r="P391" s="102">
        <v>11</v>
      </c>
      <c r="Q391" s="74" t="s">
        <v>671</v>
      </c>
      <c r="R391" s="74" t="s">
        <v>671</v>
      </c>
      <c r="S391" s="74" t="s">
        <v>671</v>
      </c>
      <c r="T391" s="109" t="s">
        <v>671</v>
      </c>
      <c r="U391" s="109" t="s">
        <v>671</v>
      </c>
    </row>
    <row r="392" spans="1:25" x14ac:dyDescent="0.25">
      <c r="A392" s="6"/>
      <c r="B392" s="6">
        <v>45</v>
      </c>
      <c r="C392" s="10" t="s">
        <v>432</v>
      </c>
      <c r="D392" s="80">
        <f>SUM(D393)</f>
        <v>0</v>
      </c>
      <c r="E392" s="192">
        <f t="shared" ref="E392:I393" si="182">SUM(E393)</f>
        <v>832.81</v>
      </c>
      <c r="F392" s="192">
        <f t="shared" si="182"/>
        <v>73491.81</v>
      </c>
      <c r="G392" s="80">
        <f t="shared" si="182"/>
        <v>50000</v>
      </c>
      <c r="H392" s="80">
        <f t="shared" si="182"/>
        <v>80000</v>
      </c>
      <c r="I392" s="80">
        <f t="shared" si="182"/>
        <v>73491.81</v>
      </c>
      <c r="J392" s="8">
        <f t="shared" si="178"/>
        <v>9606.0325884655576</v>
      </c>
      <c r="K392" s="98">
        <f t="shared" si="152"/>
        <v>160</v>
      </c>
      <c r="L392" s="103"/>
      <c r="M392" s="77"/>
      <c r="P392" s="102"/>
    </row>
    <row r="393" spans="1:25" x14ac:dyDescent="0.25">
      <c r="A393" s="11"/>
      <c r="B393" s="11">
        <v>451</v>
      </c>
      <c r="C393" s="81" t="s">
        <v>433</v>
      </c>
      <c r="D393" s="82">
        <f>SUM(D394)</f>
        <v>0</v>
      </c>
      <c r="E393" s="193">
        <f t="shared" si="182"/>
        <v>832.81</v>
      </c>
      <c r="F393" s="193">
        <f t="shared" si="182"/>
        <v>73491.81</v>
      </c>
      <c r="G393" s="82">
        <f t="shared" si="182"/>
        <v>50000</v>
      </c>
      <c r="H393" s="82">
        <f t="shared" si="182"/>
        <v>80000</v>
      </c>
      <c r="I393" s="82">
        <f t="shared" si="182"/>
        <v>73491.81</v>
      </c>
      <c r="J393" s="8">
        <f t="shared" si="178"/>
        <v>9606.0325884655576</v>
      </c>
      <c r="K393" s="98">
        <f t="shared" si="152"/>
        <v>160</v>
      </c>
      <c r="L393" s="103">
        <v>11</v>
      </c>
      <c r="M393" s="77">
        <v>11</v>
      </c>
      <c r="N393" s="76">
        <v>11</v>
      </c>
      <c r="O393" s="76">
        <v>11</v>
      </c>
      <c r="P393" s="102">
        <v>11</v>
      </c>
      <c r="Q393" s="74" t="s">
        <v>613</v>
      </c>
      <c r="R393" s="74" t="s">
        <v>613</v>
      </c>
      <c r="S393" s="74" t="s">
        <v>613</v>
      </c>
      <c r="T393" s="109" t="s">
        <v>613</v>
      </c>
      <c r="U393" s="109" t="s">
        <v>613</v>
      </c>
    </row>
    <row r="394" spans="1:25" x14ac:dyDescent="0.25">
      <c r="A394" s="20"/>
      <c r="B394" s="20">
        <v>45111</v>
      </c>
      <c r="C394" s="91" t="s">
        <v>433</v>
      </c>
      <c r="D394" s="171"/>
      <c r="E394" s="194">
        <v>832.81</v>
      </c>
      <c r="F394" s="194">
        <v>73491.81</v>
      </c>
      <c r="G394" s="92">
        <v>50000</v>
      </c>
      <c r="H394" s="92">
        <v>80000</v>
      </c>
      <c r="I394" s="92">
        <v>73491.81</v>
      </c>
      <c r="J394" s="8">
        <f t="shared" si="178"/>
        <v>9606.0325884655576</v>
      </c>
      <c r="K394" s="98">
        <f t="shared" si="152"/>
        <v>160</v>
      </c>
      <c r="L394" s="145"/>
      <c r="M394" s="25"/>
      <c r="N394" s="25"/>
      <c r="O394" s="25"/>
      <c r="P394" s="25"/>
      <c r="Q394" s="25"/>
      <c r="R394" s="25"/>
      <c r="S394" s="25"/>
      <c r="T394" s="25"/>
      <c r="U394" s="25"/>
    </row>
    <row r="395" spans="1:25" s="146" customFormat="1" x14ac:dyDescent="0.25">
      <c r="A395" s="7"/>
      <c r="B395" s="7">
        <v>5</v>
      </c>
      <c r="C395" s="142" t="s">
        <v>105</v>
      </c>
      <c r="D395" s="143"/>
      <c r="E395" s="199"/>
      <c r="F395" s="199"/>
      <c r="G395" s="143"/>
      <c r="H395" s="143"/>
      <c r="I395" s="68"/>
      <c r="J395" s="68"/>
      <c r="K395" s="144"/>
      <c r="L395" s="14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</row>
    <row r="396" spans="1:25" s="146" customFormat="1" x14ac:dyDescent="0.25">
      <c r="A396" s="7"/>
      <c r="B396" s="7">
        <v>51</v>
      </c>
      <c r="C396" s="142" t="s">
        <v>849</v>
      </c>
      <c r="D396" s="143"/>
      <c r="E396" s="199"/>
      <c r="F396" s="199"/>
      <c r="G396" s="143"/>
      <c r="H396" s="143"/>
      <c r="I396" s="68"/>
      <c r="J396" s="68"/>
      <c r="K396" s="144"/>
      <c r="L396" s="14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</row>
    <row r="397" spans="1:25" s="146" customFormat="1" x14ac:dyDescent="0.25">
      <c r="A397" s="84"/>
      <c r="B397" s="84">
        <v>514</v>
      </c>
      <c r="C397" s="147" t="s">
        <v>850</v>
      </c>
      <c r="D397" s="148"/>
      <c r="E397" s="501"/>
      <c r="F397" s="501"/>
      <c r="G397" s="148"/>
      <c r="H397" s="148"/>
      <c r="I397" s="149"/>
      <c r="J397" s="149"/>
      <c r="K397" s="144"/>
      <c r="L397" s="103"/>
      <c r="M397" s="77"/>
      <c r="N397" s="76"/>
      <c r="O397" s="76"/>
      <c r="P397" s="102"/>
      <c r="Q397" s="74"/>
      <c r="R397" s="74"/>
      <c r="S397" s="74"/>
      <c r="T397" s="109"/>
      <c r="U397" s="109"/>
      <c r="V397" s="25"/>
      <c r="W397" s="25"/>
      <c r="X397" s="25"/>
      <c r="Y397" s="25"/>
    </row>
    <row r="398" spans="1:25" s="146" customFormat="1" x14ac:dyDescent="0.25">
      <c r="A398" s="24"/>
      <c r="B398" s="24">
        <v>51412</v>
      </c>
      <c r="C398" s="141" t="s">
        <v>851</v>
      </c>
      <c r="D398" s="48"/>
      <c r="E398" s="502"/>
      <c r="F398" s="502"/>
      <c r="G398" s="500"/>
      <c r="H398" s="500"/>
      <c r="I398" s="49"/>
      <c r="J398" s="150"/>
      <c r="K398" s="144"/>
      <c r="L398" s="103"/>
      <c r="M398" s="77"/>
      <c r="N398" s="76"/>
      <c r="O398" s="76"/>
      <c r="P398" s="102"/>
      <c r="Q398" s="74"/>
      <c r="R398" s="74"/>
      <c r="S398" s="74"/>
      <c r="T398" s="109"/>
      <c r="U398" s="109"/>
      <c r="V398" s="25"/>
      <c r="W398" s="25"/>
      <c r="X398" s="25"/>
      <c r="Y398" s="25"/>
    </row>
    <row r="399" spans="1:25" x14ac:dyDescent="0.25">
      <c r="A399" s="24"/>
      <c r="C399" s="141"/>
      <c r="D399" s="172"/>
      <c r="J399" s="68"/>
      <c r="K399" s="68"/>
      <c r="L399" s="104"/>
      <c r="P399" s="102"/>
    </row>
    <row r="400" spans="1:25" x14ac:dyDescent="0.25">
      <c r="A400" s="25" t="s">
        <v>728</v>
      </c>
      <c r="L400" s="104"/>
      <c r="P400" s="102"/>
    </row>
    <row r="401" spans="1:23" x14ac:dyDescent="0.25">
      <c r="A401" s="33"/>
      <c r="B401" s="7"/>
      <c r="C401" s="73" t="s">
        <v>559</v>
      </c>
      <c r="D401" s="68">
        <f t="shared" ref="D401:I401" si="183">SUM(D402+D502)</f>
        <v>0</v>
      </c>
      <c r="E401" s="199">
        <f>SUM(E402+E502)</f>
        <v>142912.26999999999</v>
      </c>
      <c r="F401" s="199">
        <f t="shared" ref="F401" si="184">SUM(F402+F502)</f>
        <v>291985.69</v>
      </c>
      <c r="G401" s="68">
        <f t="shared" si="183"/>
        <v>320000</v>
      </c>
      <c r="H401" s="68">
        <f>SUM(H402+H502)</f>
        <v>342500</v>
      </c>
      <c r="I401" s="68">
        <f t="shared" si="183"/>
        <v>291985.69</v>
      </c>
      <c r="L401" s="104"/>
      <c r="P401" s="102"/>
    </row>
    <row r="402" spans="1:23" x14ac:dyDescent="0.25">
      <c r="A402" s="33"/>
      <c r="B402" s="7">
        <v>3</v>
      </c>
      <c r="C402" s="10" t="s">
        <v>145</v>
      </c>
      <c r="D402" s="143">
        <f t="shared" ref="D402:I402" si="185">SUM(D403+D421+D494+D499)</f>
        <v>0</v>
      </c>
      <c r="E402" s="195">
        <f>SUM(E403+E421+E494+E499)</f>
        <v>142912.26999999999</v>
      </c>
      <c r="F402" s="195">
        <f t="shared" ref="F402" si="186">SUM(F403+F421+F494+F499)</f>
        <v>291985.69</v>
      </c>
      <c r="G402" s="143">
        <f t="shared" si="185"/>
        <v>320000</v>
      </c>
      <c r="H402" s="143">
        <f>SUM(H403+H421+H494+H499)</f>
        <v>342500</v>
      </c>
      <c r="I402" s="143">
        <f t="shared" si="185"/>
        <v>291985.69</v>
      </c>
      <c r="L402" s="104"/>
      <c r="P402" s="102"/>
    </row>
    <row r="403" spans="1:23" x14ac:dyDescent="0.25">
      <c r="A403" s="33"/>
      <c r="B403" s="7">
        <v>31</v>
      </c>
      <c r="C403" s="10" t="s">
        <v>146</v>
      </c>
      <c r="D403" s="143">
        <f t="shared" ref="D403:I403" si="187">SUM(D404+D410+D418)</f>
        <v>0</v>
      </c>
      <c r="E403" s="195">
        <f>SUM(E404+E410+E418)</f>
        <v>126045.55</v>
      </c>
      <c r="F403" s="195">
        <f t="shared" ref="F403" si="188">SUM(F404+F410+F418)</f>
        <v>258558.56000000003</v>
      </c>
      <c r="G403" s="143">
        <f t="shared" si="187"/>
        <v>273000</v>
      </c>
      <c r="H403" s="143">
        <f>SUM(H404+H410+H418)</f>
        <v>288500</v>
      </c>
      <c r="I403" s="143">
        <f t="shared" si="187"/>
        <v>258558.56000000003</v>
      </c>
      <c r="L403" s="104"/>
      <c r="P403" s="102"/>
    </row>
    <row r="404" spans="1:23" x14ac:dyDescent="0.25">
      <c r="A404" s="36"/>
      <c r="B404" s="72">
        <v>311</v>
      </c>
      <c r="C404" s="12" t="s">
        <v>147</v>
      </c>
      <c r="D404" s="165">
        <f t="shared" ref="D404:I404" si="189">SUM(D405+D408)</f>
        <v>0</v>
      </c>
      <c r="E404" s="200">
        <f>SUM(E405+E408)</f>
        <v>106952.98000000001</v>
      </c>
      <c r="F404" s="200">
        <f t="shared" ref="F404" si="190">SUM(F405+F408)</f>
        <v>213671.41</v>
      </c>
      <c r="G404" s="165">
        <f t="shared" si="189"/>
        <v>217000</v>
      </c>
      <c r="H404" s="165">
        <f>SUM(H405+H408)</f>
        <v>237000</v>
      </c>
      <c r="I404" s="165">
        <f t="shared" si="189"/>
        <v>213671.41</v>
      </c>
      <c r="L404" s="104"/>
      <c r="P404" s="102"/>
    </row>
    <row r="405" spans="1:23" x14ac:dyDescent="0.25">
      <c r="A405" s="41"/>
      <c r="B405" s="84">
        <v>3111</v>
      </c>
      <c r="C405" s="38" t="s">
        <v>72</v>
      </c>
      <c r="D405" s="148">
        <f t="shared" ref="D405:I405" si="191">SUM(D406:D407)</f>
        <v>0</v>
      </c>
      <c r="E405" s="196">
        <f>SUM(E406:E407)</f>
        <v>106952.98000000001</v>
      </c>
      <c r="F405" s="196">
        <f t="shared" ref="F405" si="192">SUM(F406:F407)</f>
        <v>213671.41</v>
      </c>
      <c r="G405" s="148">
        <f t="shared" si="191"/>
        <v>217000</v>
      </c>
      <c r="H405" s="148">
        <f>SUM(H406:H407)</f>
        <v>237000</v>
      </c>
      <c r="I405" s="148">
        <f t="shared" si="191"/>
        <v>213671.41</v>
      </c>
      <c r="L405" s="104"/>
      <c r="P405" s="102"/>
    </row>
    <row r="406" spans="1:23" x14ac:dyDescent="0.25">
      <c r="B406" s="24">
        <v>31111</v>
      </c>
      <c r="C406" s="26" t="s">
        <v>745</v>
      </c>
      <c r="E406" s="197">
        <v>105781.27</v>
      </c>
      <c r="F406" s="197">
        <v>212499.7</v>
      </c>
      <c r="G406" s="27">
        <v>215000</v>
      </c>
      <c r="H406" s="27">
        <v>235000</v>
      </c>
      <c r="I406" s="27">
        <v>212499.7</v>
      </c>
      <c r="L406" s="104"/>
      <c r="P406" s="102"/>
    </row>
    <row r="407" spans="1:23" x14ac:dyDescent="0.25">
      <c r="C407" s="26" t="s">
        <v>836</v>
      </c>
      <c r="E407" s="197">
        <v>1171.71</v>
      </c>
      <c r="F407" s="197">
        <v>1171.71</v>
      </c>
      <c r="G407" s="27">
        <v>2000</v>
      </c>
      <c r="H407" s="27">
        <v>2000</v>
      </c>
      <c r="I407" s="27">
        <v>1171.71</v>
      </c>
      <c r="L407" s="104"/>
      <c r="P407" s="102"/>
    </row>
    <row r="408" spans="1:23" x14ac:dyDescent="0.25">
      <c r="A408" s="41"/>
      <c r="B408" s="84">
        <v>3112</v>
      </c>
      <c r="C408" s="85" t="s">
        <v>746</v>
      </c>
      <c r="D408" s="148">
        <f t="shared" ref="D408:I408" si="193">SUM(D409)</f>
        <v>0</v>
      </c>
      <c r="E408" s="196">
        <f t="shared" si="193"/>
        <v>0</v>
      </c>
      <c r="F408" s="196">
        <f t="shared" si="193"/>
        <v>0</v>
      </c>
      <c r="G408" s="148">
        <f t="shared" si="193"/>
        <v>0</v>
      </c>
      <c r="H408" s="148">
        <f t="shared" si="193"/>
        <v>0</v>
      </c>
      <c r="I408" s="148">
        <f t="shared" si="193"/>
        <v>0</v>
      </c>
      <c r="L408" s="104"/>
      <c r="P408" s="102"/>
    </row>
    <row r="409" spans="1:23" x14ac:dyDescent="0.25">
      <c r="B409" s="24">
        <v>31129</v>
      </c>
      <c r="C409" s="26" t="s">
        <v>747</v>
      </c>
      <c r="L409" s="104"/>
      <c r="P409" s="102"/>
    </row>
    <row r="410" spans="1:23" x14ac:dyDescent="0.25">
      <c r="A410" s="36"/>
      <c r="B410" s="72">
        <v>312</v>
      </c>
      <c r="C410" s="12" t="s">
        <v>150</v>
      </c>
      <c r="D410" s="165">
        <f t="shared" ref="D410:I410" si="194">SUM(D411)</f>
        <v>0</v>
      </c>
      <c r="E410" s="200">
        <f t="shared" si="194"/>
        <v>2948.17</v>
      </c>
      <c r="F410" s="200">
        <f t="shared" si="194"/>
        <v>12416.7</v>
      </c>
      <c r="G410" s="165">
        <f t="shared" si="194"/>
        <v>15500</v>
      </c>
      <c r="H410" s="165">
        <f t="shared" si="194"/>
        <v>14500</v>
      </c>
      <c r="I410" s="165">
        <f t="shared" si="194"/>
        <v>12416.7</v>
      </c>
      <c r="L410" s="104"/>
      <c r="P410" s="102"/>
    </row>
    <row r="411" spans="1:23" x14ac:dyDescent="0.25">
      <c r="A411" s="41"/>
      <c r="B411" s="84">
        <v>3121</v>
      </c>
      <c r="C411" s="38" t="s">
        <v>4</v>
      </c>
      <c r="D411" s="196">
        <f t="shared" ref="D411:I411" si="195">SUM(D412:D417)</f>
        <v>0</v>
      </c>
      <c r="E411" s="196">
        <f t="shared" ref="E411:F411" si="196">SUM(E412:E417)</f>
        <v>2948.17</v>
      </c>
      <c r="F411" s="196">
        <f t="shared" si="196"/>
        <v>12416.7</v>
      </c>
      <c r="G411" s="148">
        <f t="shared" si="195"/>
        <v>15500</v>
      </c>
      <c r="H411" s="148">
        <f t="shared" si="195"/>
        <v>14500</v>
      </c>
      <c r="I411" s="148">
        <f t="shared" si="195"/>
        <v>12416.7</v>
      </c>
      <c r="L411" s="209"/>
      <c r="M411" s="210"/>
      <c r="N411" s="116"/>
      <c r="O411" s="116"/>
      <c r="P411" s="117"/>
      <c r="Q411" s="118"/>
      <c r="R411" s="118"/>
      <c r="S411" s="118"/>
      <c r="T411" s="113"/>
      <c r="U411" s="113"/>
      <c r="V411" s="43"/>
      <c r="W411" s="43"/>
    </row>
    <row r="412" spans="1:23" s="43" customFormat="1" x14ac:dyDescent="0.25">
      <c r="B412" s="86">
        <v>31211</v>
      </c>
      <c r="C412" s="87" t="s">
        <v>913</v>
      </c>
      <c r="D412" s="173"/>
      <c r="E412" s="201"/>
      <c r="F412" s="201"/>
      <c r="G412" s="173">
        <v>1000</v>
      </c>
      <c r="H412" s="173"/>
      <c r="I412" s="173"/>
      <c r="J412" s="69"/>
      <c r="K412" s="50"/>
      <c r="L412" s="104"/>
      <c r="M412" s="83"/>
      <c r="N412" s="76"/>
      <c r="O412" s="76"/>
      <c r="P412" s="102"/>
      <c r="Q412" s="74"/>
      <c r="R412" s="74"/>
      <c r="S412" s="74"/>
      <c r="T412" s="109"/>
      <c r="U412" s="109"/>
    </row>
    <row r="413" spans="1:23" s="43" customFormat="1" x14ac:dyDescent="0.25">
      <c r="B413" s="86">
        <v>31212</v>
      </c>
      <c r="C413" s="87" t="s">
        <v>839</v>
      </c>
      <c r="D413" s="173"/>
      <c r="E413" s="201">
        <v>2948.17</v>
      </c>
      <c r="F413" s="201">
        <v>6812.7</v>
      </c>
      <c r="G413" s="173">
        <v>7500</v>
      </c>
      <c r="H413" s="173">
        <v>7500</v>
      </c>
      <c r="I413" s="173">
        <v>6812.7</v>
      </c>
      <c r="J413" s="69"/>
      <c r="K413" s="50"/>
      <c r="L413" s="104"/>
      <c r="M413" s="83"/>
      <c r="N413" s="76"/>
      <c r="O413" s="76"/>
      <c r="P413" s="102"/>
      <c r="Q413" s="74"/>
      <c r="R413" s="74"/>
      <c r="S413" s="74"/>
      <c r="T413" s="109"/>
      <c r="U413" s="109"/>
      <c r="V413" s="25"/>
      <c r="W413" s="25"/>
    </row>
    <row r="414" spans="1:23" x14ac:dyDescent="0.25">
      <c r="B414" s="24">
        <v>31213</v>
      </c>
      <c r="C414" s="26" t="s">
        <v>748</v>
      </c>
      <c r="F414" s="197">
        <v>804</v>
      </c>
      <c r="G414" s="27">
        <v>2000</v>
      </c>
      <c r="H414" s="27">
        <v>2000</v>
      </c>
      <c r="I414" s="27">
        <v>804</v>
      </c>
      <c r="L414" s="104"/>
      <c r="P414" s="102"/>
    </row>
    <row r="415" spans="1:23" x14ac:dyDescent="0.25">
      <c r="B415" s="24">
        <v>31214</v>
      </c>
      <c r="C415" s="26" t="s">
        <v>840</v>
      </c>
      <c r="L415" s="104"/>
      <c r="P415" s="102"/>
    </row>
    <row r="416" spans="1:23" x14ac:dyDescent="0.25">
      <c r="B416" s="24">
        <v>31215</v>
      </c>
      <c r="C416" s="26" t="s">
        <v>749</v>
      </c>
      <c r="L416" s="104"/>
      <c r="P416" s="102"/>
    </row>
    <row r="417" spans="1:16" x14ac:dyDescent="0.25">
      <c r="B417" s="24">
        <v>31216</v>
      </c>
      <c r="C417" s="26" t="s">
        <v>750</v>
      </c>
      <c r="F417" s="197">
        <v>4800</v>
      </c>
      <c r="G417" s="27">
        <v>5000</v>
      </c>
      <c r="H417" s="27">
        <v>5000</v>
      </c>
      <c r="I417" s="27">
        <v>4800</v>
      </c>
      <c r="L417" s="104"/>
      <c r="P417" s="102"/>
    </row>
    <row r="418" spans="1:16" x14ac:dyDescent="0.25">
      <c r="A418" s="41"/>
      <c r="B418" s="96">
        <v>313</v>
      </c>
      <c r="C418" s="95" t="s">
        <v>160</v>
      </c>
      <c r="D418" s="174">
        <f t="shared" ref="D418:I418" si="197">SUM(D419:D420)</f>
        <v>0</v>
      </c>
      <c r="E418" s="202">
        <f>SUM(E419:E420)</f>
        <v>16144.4</v>
      </c>
      <c r="F418" s="202">
        <f t="shared" ref="F418" si="198">SUM(F419:F420)</f>
        <v>32470.45</v>
      </c>
      <c r="G418" s="174">
        <f t="shared" si="197"/>
        <v>40500</v>
      </c>
      <c r="H418" s="174">
        <f>SUM(H419:H420)</f>
        <v>37000</v>
      </c>
      <c r="I418" s="174">
        <f t="shared" si="197"/>
        <v>32470.45</v>
      </c>
      <c r="L418" s="104"/>
      <c r="P418" s="102"/>
    </row>
    <row r="419" spans="1:16" x14ac:dyDescent="0.25">
      <c r="B419" s="24">
        <v>313211</v>
      </c>
      <c r="C419" s="26" t="s">
        <v>751</v>
      </c>
      <c r="E419" s="197">
        <v>16144.4</v>
      </c>
      <c r="F419" s="197">
        <v>32470.45</v>
      </c>
      <c r="G419" s="27">
        <v>40500</v>
      </c>
      <c r="H419" s="27">
        <v>37000</v>
      </c>
      <c r="I419" s="27">
        <v>32470.45</v>
      </c>
      <c r="L419" s="104"/>
      <c r="P419" s="102"/>
    </row>
    <row r="420" spans="1:16" x14ac:dyDescent="0.25">
      <c r="B420" s="24">
        <v>313321</v>
      </c>
      <c r="C420" s="26" t="s">
        <v>752</v>
      </c>
      <c r="L420" s="104"/>
      <c r="P420" s="102"/>
    </row>
    <row r="421" spans="1:16" x14ac:dyDescent="0.25">
      <c r="A421" s="33"/>
      <c r="B421" s="7">
        <v>32</v>
      </c>
      <c r="C421" s="10" t="s">
        <v>163</v>
      </c>
      <c r="D421" s="143">
        <f t="shared" ref="D421:I421" si="199">SUM(D422+D432+D452+D481+D484)</f>
        <v>0</v>
      </c>
      <c r="E421" s="195">
        <f>SUM(E422+E432+E452+E481+E484)</f>
        <v>16212.730000000003</v>
      </c>
      <c r="F421" s="195">
        <f t="shared" ref="F421" si="200">SUM(F422+F432+F452+F481+F484)</f>
        <v>32113.38</v>
      </c>
      <c r="G421" s="143">
        <f t="shared" si="199"/>
        <v>45000</v>
      </c>
      <c r="H421" s="143">
        <f>SUM(H422+H432+H452+H481+H484)</f>
        <v>52000</v>
      </c>
      <c r="I421" s="143">
        <f t="shared" si="199"/>
        <v>32113.38</v>
      </c>
      <c r="L421" s="104"/>
      <c r="P421" s="102"/>
    </row>
    <row r="422" spans="1:16" x14ac:dyDescent="0.25">
      <c r="A422" s="36"/>
      <c r="B422" s="72">
        <v>321</v>
      </c>
      <c r="C422" s="12" t="s">
        <v>164</v>
      </c>
      <c r="D422" s="165">
        <f t="shared" ref="D422:I422" si="201">SUM(D423+D426+D428+D430)</f>
        <v>0</v>
      </c>
      <c r="E422" s="200">
        <f>SUM(E423+E426+E428+E430)</f>
        <v>0</v>
      </c>
      <c r="F422" s="200">
        <f t="shared" ref="F422" si="202">SUM(F423+F426+F428+F430)</f>
        <v>95</v>
      </c>
      <c r="G422" s="165">
        <f t="shared" si="201"/>
        <v>1000</v>
      </c>
      <c r="H422" s="165">
        <f>SUM(H423+H426+H428+H430)</f>
        <v>500</v>
      </c>
      <c r="I422" s="165">
        <f t="shared" si="201"/>
        <v>95</v>
      </c>
      <c r="L422" s="104"/>
      <c r="P422" s="102"/>
    </row>
    <row r="423" spans="1:16" x14ac:dyDescent="0.25">
      <c r="A423" s="41"/>
      <c r="B423" s="84">
        <v>3211</v>
      </c>
      <c r="C423" s="38" t="s">
        <v>165</v>
      </c>
      <c r="D423" s="148">
        <f t="shared" ref="D423:I423" si="203">SUM(D424:D425)</f>
        <v>0</v>
      </c>
      <c r="E423" s="196">
        <f>SUM(E424:E425)</f>
        <v>0</v>
      </c>
      <c r="F423" s="196">
        <f t="shared" ref="F423" si="204">SUM(F424:F425)</f>
        <v>0</v>
      </c>
      <c r="G423" s="148">
        <f t="shared" si="203"/>
        <v>0</v>
      </c>
      <c r="H423" s="148">
        <f>SUM(H424:H425)</f>
        <v>0</v>
      </c>
      <c r="I423" s="148">
        <f t="shared" si="203"/>
        <v>0</v>
      </c>
      <c r="L423" s="104"/>
      <c r="P423" s="102"/>
    </row>
    <row r="424" spans="1:16" x14ac:dyDescent="0.25">
      <c r="B424" s="24">
        <v>32111</v>
      </c>
      <c r="C424" s="26" t="s">
        <v>753</v>
      </c>
      <c r="L424" s="104"/>
      <c r="P424" s="102"/>
    </row>
    <row r="425" spans="1:16" x14ac:dyDescent="0.25">
      <c r="B425" s="24">
        <v>32115</v>
      </c>
      <c r="C425" s="26" t="s">
        <v>169</v>
      </c>
      <c r="L425" s="104"/>
      <c r="P425" s="102"/>
    </row>
    <row r="426" spans="1:16" x14ac:dyDescent="0.25">
      <c r="A426" s="41"/>
      <c r="B426" s="84">
        <v>3212</v>
      </c>
      <c r="C426" s="38" t="s">
        <v>171</v>
      </c>
      <c r="D426" s="148">
        <f t="shared" ref="D426:I426" si="205">SUM(D427)</f>
        <v>0</v>
      </c>
      <c r="E426" s="196">
        <f t="shared" si="205"/>
        <v>0</v>
      </c>
      <c r="F426" s="196">
        <f t="shared" si="205"/>
        <v>0</v>
      </c>
      <c r="G426" s="148">
        <f t="shared" si="205"/>
        <v>0</v>
      </c>
      <c r="H426" s="148">
        <f t="shared" si="205"/>
        <v>0</v>
      </c>
      <c r="I426" s="148">
        <f t="shared" si="205"/>
        <v>0</v>
      </c>
      <c r="L426" s="104"/>
      <c r="P426" s="102"/>
    </row>
    <row r="427" spans="1:16" x14ac:dyDescent="0.25">
      <c r="B427" s="24">
        <v>32121</v>
      </c>
      <c r="C427" s="26" t="s">
        <v>754</v>
      </c>
      <c r="L427" s="104"/>
      <c r="P427" s="102"/>
    </row>
    <row r="428" spans="1:16" x14ac:dyDescent="0.25">
      <c r="A428" s="41"/>
      <c r="B428" s="84">
        <v>3213</v>
      </c>
      <c r="C428" s="38" t="s">
        <v>173</v>
      </c>
      <c r="D428" s="148">
        <f t="shared" ref="D428:I428" si="206">SUM(D429)</f>
        <v>0</v>
      </c>
      <c r="E428" s="196">
        <f t="shared" si="206"/>
        <v>0</v>
      </c>
      <c r="F428" s="196">
        <f t="shared" si="206"/>
        <v>95</v>
      </c>
      <c r="G428" s="148">
        <f t="shared" si="206"/>
        <v>500</v>
      </c>
      <c r="H428" s="148">
        <f t="shared" si="206"/>
        <v>500</v>
      </c>
      <c r="I428" s="148">
        <f t="shared" si="206"/>
        <v>95</v>
      </c>
      <c r="L428" s="104"/>
      <c r="P428" s="102"/>
    </row>
    <row r="429" spans="1:16" x14ac:dyDescent="0.25">
      <c r="B429" s="24">
        <v>32131</v>
      </c>
      <c r="C429" s="26" t="s">
        <v>755</v>
      </c>
      <c r="F429" s="197">
        <v>95</v>
      </c>
      <c r="G429" s="27">
        <v>500</v>
      </c>
      <c r="H429" s="27">
        <v>500</v>
      </c>
      <c r="I429" s="27">
        <v>95</v>
      </c>
      <c r="L429" s="104"/>
      <c r="P429" s="102"/>
    </row>
    <row r="430" spans="1:16" x14ac:dyDescent="0.25">
      <c r="B430" s="37">
        <v>3214</v>
      </c>
      <c r="C430" s="38" t="s">
        <v>175</v>
      </c>
      <c r="D430" s="148">
        <f t="shared" ref="D430:I430" si="207">SUM(D431)</f>
        <v>0</v>
      </c>
      <c r="E430" s="196">
        <f t="shared" si="207"/>
        <v>0</v>
      </c>
      <c r="F430" s="196">
        <f t="shared" si="207"/>
        <v>0</v>
      </c>
      <c r="G430" s="148">
        <f t="shared" si="207"/>
        <v>500</v>
      </c>
      <c r="H430" s="148">
        <f t="shared" si="207"/>
        <v>0</v>
      </c>
      <c r="I430" s="148">
        <f t="shared" si="207"/>
        <v>0</v>
      </c>
      <c r="L430" s="104"/>
      <c r="P430" s="102"/>
    </row>
    <row r="431" spans="1:16" x14ac:dyDescent="0.25">
      <c r="B431" s="15">
        <v>321411</v>
      </c>
      <c r="C431" s="16" t="s">
        <v>856</v>
      </c>
      <c r="G431" s="27">
        <v>500</v>
      </c>
      <c r="L431" s="104"/>
      <c r="P431" s="102"/>
    </row>
    <row r="432" spans="1:16" x14ac:dyDescent="0.25">
      <c r="A432" s="36"/>
      <c r="B432" s="72">
        <v>322</v>
      </c>
      <c r="C432" s="12" t="s">
        <v>178</v>
      </c>
      <c r="D432" s="165">
        <f t="shared" ref="D432:I432" si="208">SUM(D433+D438+D441+D444+D448+D450)</f>
        <v>0</v>
      </c>
      <c r="E432" s="200">
        <f>SUM(E433+E438+E441+E444+E448+E450)</f>
        <v>11771.150000000001</v>
      </c>
      <c r="F432" s="200">
        <f t="shared" ref="F432" si="209">SUM(F433+F438+F441+F444+F448+F450)</f>
        <v>22871.81</v>
      </c>
      <c r="G432" s="165">
        <f t="shared" si="208"/>
        <v>31000</v>
      </c>
      <c r="H432" s="165">
        <f>SUM(H433+H438+H441+H444+H448+H450)</f>
        <v>36000</v>
      </c>
      <c r="I432" s="165">
        <f t="shared" si="208"/>
        <v>22871.81</v>
      </c>
      <c r="L432" s="104"/>
      <c r="P432" s="102"/>
    </row>
    <row r="433" spans="1:16" x14ac:dyDescent="0.25">
      <c r="A433" s="41"/>
      <c r="B433" s="84">
        <v>3221</v>
      </c>
      <c r="C433" s="38" t="s">
        <v>179</v>
      </c>
      <c r="D433" s="148">
        <f t="shared" ref="D433:I433" si="210">SUM(D434:D437)</f>
        <v>0</v>
      </c>
      <c r="E433" s="196">
        <f t="shared" ref="E433:F433" si="211">SUM(E434:E437)</f>
        <v>1580.48</v>
      </c>
      <c r="F433" s="196">
        <f t="shared" si="211"/>
        <v>2887.03</v>
      </c>
      <c r="G433" s="148">
        <f t="shared" si="210"/>
        <v>5000</v>
      </c>
      <c r="H433" s="148">
        <f t="shared" si="210"/>
        <v>5000</v>
      </c>
      <c r="I433" s="148">
        <f t="shared" si="210"/>
        <v>2887.03</v>
      </c>
      <c r="L433" s="104"/>
      <c r="P433" s="102"/>
    </row>
    <row r="434" spans="1:16" x14ac:dyDescent="0.25">
      <c r="B434" s="24">
        <v>32211</v>
      </c>
      <c r="C434" s="26" t="s">
        <v>756</v>
      </c>
      <c r="E434" s="197">
        <v>282.89999999999998</v>
      </c>
      <c r="F434" s="197">
        <v>928.57</v>
      </c>
      <c r="G434" s="27">
        <v>1500</v>
      </c>
      <c r="H434" s="27">
        <v>1500</v>
      </c>
      <c r="I434" s="27">
        <v>928.57</v>
      </c>
      <c r="L434" s="104"/>
      <c r="P434" s="102"/>
    </row>
    <row r="435" spans="1:16" x14ac:dyDescent="0.25">
      <c r="B435" s="24">
        <v>32212</v>
      </c>
      <c r="C435" s="26" t="s">
        <v>757</v>
      </c>
      <c r="E435" s="197">
        <v>157</v>
      </c>
      <c r="F435" s="197">
        <v>187</v>
      </c>
      <c r="G435" s="27">
        <v>500</v>
      </c>
      <c r="H435" s="27">
        <v>500</v>
      </c>
      <c r="I435" s="27">
        <v>187</v>
      </c>
      <c r="L435" s="104"/>
      <c r="P435" s="102"/>
    </row>
    <row r="436" spans="1:16" x14ac:dyDescent="0.25">
      <c r="B436" s="24">
        <v>32214</v>
      </c>
      <c r="C436" s="26" t="s">
        <v>758</v>
      </c>
      <c r="E436" s="197">
        <v>1110.8699999999999</v>
      </c>
      <c r="F436" s="197">
        <v>1741.75</v>
      </c>
      <c r="G436" s="27">
        <v>2500</v>
      </c>
      <c r="H436" s="27">
        <v>2500</v>
      </c>
      <c r="I436" s="27">
        <v>1741.75</v>
      </c>
      <c r="L436" s="104"/>
      <c r="P436" s="102"/>
    </row>
    <row r="437" spans="1:16" x14ac:dyDescent="0.25">
      <c r="B437" s="24">
        <v>32219</v>
      </c>
      <c r="C437" s="26" t="s">
        <v>841</v>
      </c>
      <c r="E437" s="197">
        <v>29.71</v>
      </c>
      <c r="F437" s="197">
        <v>29.71</v>
      </c>
      <c r="G437" s="27">
        <v>500</v>
      </c>
      <c r="H437" s="27">
        <v>500</v>
      </c>
      <c r="I437" s="27">
        <v>29.71</v>
      </c>
      <c r="L437" s="104"/>
      <c r="P437" s="102"/>
    </row>
    <row r="438" spans="1:16" x14ac:dyDescent="0.25">
      <c r="A438" s="41"/>
      <c r="B438" s="84">
        <v>3222</v>
      </c>
      <c r="C438" s="38" t="s">
        <v>186</v>
      </c>
      <c r="D438" s="148">
        <f t="shared" ref="D438:I438" si="212">SUM(D439:D440)</f>
        <v>0</v>
      </c>
      <c r="E438" s="196">
        <f>SUM(E439:E440)</f>
        <v>7810.4800000000005</v>
      </c>
      <c r="F438" s="196">
        <f t="shared" ref="F438" si="213">SUM(F439:F440)</f>
        <v>15244.050000000001</v>
      </c>
      <c r="G438" s="148">
        <f t="shared" si="212"/>
        <v>15000</v>
      </c>
      <c r="H438" s="148">
        <f>SUM(H439:H440)</f>
        <v>20000</v>
      </c>
      <c r="I438" s="148">
        <f t="shared" si="212"/>
        <v>15244.050000000001</v>
      </c>
      <c r="L438" s="104"/>
      <c r="P438" s="102"/>
    </row>
    <row r="439" spans="1:16" x14ac:dyDescent="0.25">
      <c r="B439" s="24">
        <v>32222</v>
      </c>
      <c r="C439" s="26" t="s">
        <v>759</v>
      </c>
      <c r="E439" s="197">
        <v>141.56</v>
      </c>
      <c r="F439" s="197">
        <v>621.94000000000005</v>
      </c>
      <c r="G439" s="27">
        <v>2000</v>
      </c>
      <c r="H439" s="27">
        <v>2000</v>
      </c>
      <c r="I439" s="27">
        <v>621.94000000000005</v>
      </c>
      <c r="L439" s="104"/>
      <c r="P439" s="102"/>
    </row>
    <row r="440" spans="1:16" x14ac:dyDescent="0.25">
      <c r="B440" s="24">
        <v>32224</v>
      </c>
      <c r="C440" s="26" t="s">
        <v>760</v>
      </c>
      <c r="E440" s="197">
        <v>7668.92</v>
      </c>
      <c r="F440" s="197">
        <v>14622.11</v>
      </c>
      <c r="G440" s="27">
        <v>13000</v>
      </c>
      <c r="H440" s="27">
        <v>18000</v>
      </c>
      <c r="I440" s="27">
        <v>14622.11</v>
      </c>
      <c r="L440" s="104"/>
      <c r="P440" s="102"/>
    </row>
    <row r="441" spans="1:16" x14ac:dyDescent="0.25">
      <c r="A441" s="41"/>
      <c r="B441" s="84">
        <v>3223</v>
      </c>
      <c r="C441" s="38" t="s">
        <v>187</v>
      </c>
      <c r="D441" s="148">
        <f t="shared" ref="D441:I441" si="214">SUM(D442:D443)</f>
        <v>0</v>
      </c>
      <c r="E441" s="196">
        <f>SUM(E442:E443)</f>
        <v>2380.19</v>
      </c>
      <c r="F441" s="196">
        <f t="shared" ref="F441" si="215">SUM(F442:F443)</f>
        <v>4556.17</v>
      </c>
      <c r="G441" s="148">
        <f t="shared" si="214"/>
        <v>9000</v>
      </c>
      <c r="H441" s="148">
        <f>SUM(H442:H443)</f>
        <v>9000</v>
      </c>
      <c r="I441" s="148">
        <f t="shared" si="214"/>
        <v>4556.17</v>
      </c>
      <c r="L441" s="104"/>
      <c r="P441" s="102"/>
    </row>
    <row r="442" spans="1:16" x14ac:dyDescent="0.25">
      <c r="B442" s="24">
        <v>32231</v>
      </c>
      <c r="C442" s="26" t="s">
        <v>761</v>
      </c>
      <c r="E442" s="197">
        <v>695.51</v>
      </c>
      <c r="F442" s="197">
        <v>1676.12</v>
      </c>
      <c r="G442" s="27">
        <v>4000</v>
      </c>
      <c r="H442" s="27">
        <v>4000</v>
      </c>
      <c r="I442" s="27">
        <v>1676.12</v>
      </c>
      <c r="L442" s="104"/>
      <c r="P442" s="102"/>
    </row>
    <row r="443" spans="1:16" x14ac:dyDescent="0.25">
      <c r="B443" s="24">
        <v>32233</v>
      </c>
      <c r="C443" s="26" t="s">
        <v>762</v>
      </c>
      <c r="E443" s="197">
        <v>1684.68</v>
      </c>
      <c r="F443" s="197">
        <v>2880.05</v>
      </c>
      <c r="G443" s="27">
        <v>5000</v>
      </c>
      <c r="H443" s="27">
        <v>5000</v>
      </c>
      <c r="I443" s="27">
        <v>2880.05</v>
      </c>
      <c r="L443" s="104"/>
      <c r="P443" s="102"/>
    </row>
    <row r="444" spans="1:16" ht="31.5" x14ac:dyDescent="0.25">
      <c r="A444" s="41"/>
      <c r="B444" s="84">
        <v>3224</v>
      </c>
      <c r="C444" s="38" t="s">
        <v>192</v>
      </c>
      <c r="D444" s="148">
        <f t="shared" ref="D444:I444" si="216">SUM(D445:D447)</f>
        <v>0</v>
      </c>
      <c r="E444" s="196">
        <f>SUM(E445:E447)</f>
        <v>0</v>
      </c>
      <c r="F444" s="196">
        <f t="shared" ref="F444" si="217">SUM(F445:F447)</f>
        <v>184.56</v>
      </c>
      <c r="G444" s="148">
        <f t="shared" si="216"/>
        <v>2000</v>
      </c>
      <c r="H444" s="148">
        <f>SUM(H445:H447)</f>
        <v>2000</v>
      </c>
      <c r="I444" s="148">
        <f t="shared" si="216"/>
        <v>184.56</v>
      </c>
      <c r="L444" s="104"/>
      <c r="P444" s="102"/>
    </row>
    <row r="445" spans="1:16" x14ac:dyDescent="0.25">
      <c r="B445" s="24">
        <v>32241</v>
      </c>
      <c r="C445" s="24" t="s">
        <v>763</v>
      </c>
      <c r="D445" s="27"/>
      <c r="F445" s="197">
        <v>184.56</v>
      </c>
      <c r="G445" s="27">
        <v>1000</v>
      </c>
      <c r="H445" s="27">
        <v>1000</v>
      </c>
      <c r="I445" s="27">
        <v>184.56</v>
      </c>
      <c r="L445" s="104"/>
      <c r="P445" s="102"/>
    </row>
    <row r="446" spans="1:16" x14ac:dyDescent="0.25">
      <c r="B446" s="24">
        <v>32242</v>
      </c>
      <c r="C446" s="24" t="s">
        <v>764</v>
      </c>
      <c r="D446" s="27"/>
      <c r="L446" s="104"/>
      <c r="P446" s="102"/>
    </row>
    <row r="447" spans="1:16" x14ac:dyDescent="0.25">
      <c r="B447" s="24">
        <v>32244</v>
      </c>
      <c r="C447" s="24" t="s">
        <v>765</v>
      </c>
      <c r="D447" s="27"/>
      <c r="G447" s="27">
        <v>1000</v>
      </c>
      <c r="H447" s="27">
        <v>1000</v>
      </c>
      <c r="L447" s="104"/>
      <c r="P447" s="102"/>
    </row>
    <row r="448" spans="1:16" x14ac:dyDescent="0.25">
      <c r="A448" s="41"/>
      <c r="B448" s="84">
        <v>3225</v>
      </c>
      <c r="C448" s="38" t="s">
        <v>196</v>
      </c>
      <c r="D448" s="148">
        <f t="shared" ref="D448:I448" si="218">SUM(D449)</f>
        <v>0</v>
      </c>
      <c r="E448" s="196">
        <f t="shared" si="218"/>
        <v>0</v>
      </c>
      <c r="F448" s="196">
        <f t="shared" si="218"/>
        <v>0</v>
      </c>
      <c r="G448" s="148">
        <f t="shared" si="218"/>
        <v>0</v>
      </c>
      <c r="H448" s="148">
        <f t="shared" si="218"/>
        <v>0</v>
      </c>
      <c r="I448" s="148">
        <f t="shared" si="218"/>
        <v>0</v>
      </c>
      <c r="L448" s="104"/>
      <c r="P448" s="102"/>
    </row>
    <row r="449" spans="1:16" x14ac:dyDescent="0.25">
      <c r="B449" s="24">
        <v>32251</v>
      </c>
      <c r="C449" s="26" t="s">
        <v>197</v>
      </c>
      <c r="L449" s="104"/>
      <c r="P449" s="102"/>
    </row>
    <row r="450" spans="1:16" x14ac:dyDescent="0.25">
      <c r="A450" s="41"/>
      <c r="B450" s="84">
        <v>3227</v>
      </c>
      <c r="C450" s="38" t="s">
        <v>199</v>
      </c>
      <c r="D450" s="148">
        <f t="shared" ref="D450:I450" si="219">SUM(D451)</f>
        <v>0</v>
      </c>
      <c r="E450" s="196">
        <f t="shared" si="219"/>
        <v>0</v>
      </c>
      <c r="F450" s="196">
        <f t="shared" si="219"/>
        <v>0</v>
      </c>
      <c r="G450" s="148">
        <f t="shared" si="219"/>
        <v>0</v>
      </c>
      <c r="H450" s="148">
        <f t="shared" si="219"/>
        <v>0</v>
      </c>
      <c r="I450" s="148">
        <f t="shared" si="219"/>
        <v>0</v>
      </c>
      <c r="L450" s="104"/>
      <c r="P450" s="102"/>
    </row>
    <row r="451" spans="1:16" x14ac:dyDescent="0.25">
      <c r="B451" s="24">
        <v>32271</v>
      </c>
      <c r="C451" s="26" t="s">
        <v>766</v>
      </c>
      <c r="L451" s="104"/>
      <c r="P451" s="102"/>
    </row>
    <row r="452" spans="1:16" x14ac:dyDescent="0.25">
      <c r="A452" s="36"/>
      <c r="B452" s="72">
        <v>323</v>
      </c>
      <c r="C452" s="12" t="s">
        <v>201</v>
      </c>
      <c r="D452" s="165">
        <f t="shared" ref="D452:I452" si="220">SUM(D453+D456+D459+D462+D467+D470+D476+D478)</f>
        <v>0</v>
      </c>
      <c r="E452" s="200">
        <f t="shared" ref="E452:F452" si="221">SUM(E453+E456+E459+E462+E467+E470+E476+E478)</f>
        <v>4376.88</v>
      </c>
      <c r="F452" s="200">
        <f t="shared" si="221"/>
        <v>8866.14</v>
      </c>
      <c r="G452" s="165">
        <f t="shared" si="220"/>
        <v>12500</v>
      </c>
      <c r="H452" s="165">
        <f t="shared" si="220"/>
        <v>14500</v>
      </c>
      <c r="I452" s="165">
        <f t="shared" si="220"/>
        <v>8866.14</v>
      </c>
      <c r="L452" s="104"/>
      <c r="P452" s="102"/>
    </row>
    <row r="453" spans="1:16" x14ac:dyDescent="0.25">
      <c r="A453" s="41"/>
      <c r="B453" s="84">
        <v>3231</v>
      </c>
      <c r="C453" s="38" t="s">
        <v>202</v>
      </c>
      <c r="D453" s="148">
        <f>SUM(D454)</f>
        <v>0</v>
      </c>
      <c r="E453" s="196">
        <f>SUM(E454:E455)</f>
        <v>116.34</v>
      </c>
      <c r="F453" s="196">
        <f>SUM(F454:F455)</f>
        <v>234.98</v>
      </c>
      <c r="G453" s="148">
        <f>SUM(G454:G455)</f>
        <v>1000</v>
      </c>
      <c r="H453" s="148">
        <f>SUM(H454:H455)</f>
        <v>500</v>
      </c>
      <c r="I453" s="148">
        <f>SUM(I454:I455)</f>
        <v>234.98</v>
      </c>
      <c r="L453" s="104"/>
      <c r="P453" s="102"/>
    </row>
    <row r="454" spans="1:16" x14ac:dyDescent="0.25">
      <c r="B454" s="24">
        <v>32311</v>
      </c>
      <c r="C454" s="26" t="s">
        <v>767</v>
      </c>
      <c r="E454" s="197">
        <v>116.34</v>
      </c>
      <c r="F454" s="197">
        <v>234.98</v>
      </c>
      <c r="G454" s="27">
        <v>500</v>
      </c>
      <c r="H454" s="27">
        <v>500</v>
      </c>
      <c r="I454" s="27">
        <v>234.98</v>
      </c>
      <c r="L454" s="104"/>
      <c r="P454" s="102"/>
    </row>
    <row r="455" spans="1:16" x14ac:dyDescent="0.25">
      <c r="B455" s="24">
        <v>32313</v>
      </c>
      <c r="C455" s="26" t="s">
        <v>885</v>
      </c>
      <c r="G455" s="27">
        <v>500</v>
      </c>
      <c r="L455" s="104"/>
      <c r="P455" s="102"/>
    </row>
    <row r="456" spans="1:16" x14ac:dyDescent="0.25">
      <c r="A456" s="41"/>
      <c r="B456" s="84">
        <v>3232</v>
      </c>
      <c r="C456" s="38" t="s">
        <v>207</v>
      </c>
      <c r="D456" s="148">
        <f t="shared" ref="D456:I456" si="222">SUM(D457:D458)</f>
        <v>0</v>
      </c>
      <c r="E456" s="196">
        <f>SUM(E457:E458)</f>
        <v>16.59</v>
      </c>
      <c r="F456" s="196">
        <f t="shared" ref="F456" si="223">SUM(F457:F458)</f>
        <v>288.14</v>
      </c>
      <c r="G456" s="148">
        <f t="shared" si="222"/>
        <v>500</v>
      </c>
      <c r="H456" s="148">
        <f>SUM(H457:H458)</f>
        <v>1000</v>
      </c>
      <c r="I456" s="148">
        <f t="shared" si="222"/>
        <v>288.14</v>
      </c>
      <c r="L456" s="104"/>
      <c r="P456" s="102"/>
    </row>
    <row r="457" spans="1:16" x14ac:dyDescent="0.25">
      <c r="B457" s="24">
        <v>32321</v>
      </c>
      <c r="C457" s="26" t="s">
        <v>768</v>
      </c>
      <c r="E457" s="197">
        <v>16.59</v>
      </c>
      <c r="F457" s="197">
        <v>271.55</v>
      </c>
      <c r="G457" s="27">
        <v>500</v>
      </c>
      <c r="H457" s="27">
        <v>500</v>
      </c>
      <c r="I457" s="27">
        <v>271.55</v>
      </c>
      <c r="L457" s="104"/>
      <c r="P457" s="102"/>
    </row>
    <row r="458" spans="1:16" x14ac:dyDescent="0.25">
      <c r="B458" s="24">
        <v>32322</v>
      </c>
      <c r="C458" s="26" t="s">
        <v>769</v>
      </c>
      <c r="F458" s="197">
        <v>16.59</v>
      </c>
      <c r="H458" s="27">
        <v>500</v>
      </c>
      <c r="I458" s="27">
        <v>16.59</v>
      </c>
      <c r="L458" s="104"/>
      <c r="P458" s="102"/>
    </row>
    <row r="459" spans="1:16" x14ac:dyDescent="0.25">
      <c r="A459" s="41"/>
      <c r="B459" s="84">
        <v>3233</v>
      </c>
      <c r="C459" s="38" t="s">
        <v>220</v>
      </c>
      <c r="D459" s="148">
        <f t="shared" ref="D459:I459" si="224">SUM(D460:D461)</f>
        <v>0</v>
      </c>
      <c r="E459" s="196">
        <f>SUM(E460:E461)</f>
        <v>500</v>
      </c>
      <c r="F459" s="196">
        <f t="shared" ref="F459" si="225">SUM(F460:F461)</f>
        <v>599.54</v>
      </c>
      <c r="G459" s="148">
        <f t="shared" si="224"/>
        <v>500</v>
      </c>
      <c r="H459" s="148">
        <f>SUM(H460:H461)</f>
        <v>1000</v>
      </c>
      <c r="I459" s="148">
        <f t="shared" si="224"/>
        <v>599.54</v>
      </c>
      <c r="L459" s="104"/>
      <c r="P459" s="102"/>
    </row>
    <row r="460" spans="1:16" x14ac:dyDescent="0.25">
      <c r="A460" s="43"/>
      <c r="B460" s="86">
        <v>32331</v>
      </c>
      <c r="C460" s="87" t="s">
        <v>221</v>
      </c>
      <c r="D460" s="173"/>
      <c r="E460" s="201"/>
      <c r="F460" s="201">
        <v>500</v>
      </c>
      <c r="G460" s="173"/>
      <c r="H460" s="173">
        <v>500</v>
      </c>
      <c r="I460" s="173">
        <v>500</v>
      </c>
      <c r="J460" s="69"/>
      <c r="K460" s="50"/>
      <c r="L460" s="104"/>
      <c r="P460" s="102"/>
    </row>
    <row r="461" spans="1:16" x14ac:dyDescent="0.25">
      <c r="B461" s="24">
        <v>32339</v>
      </c>
      <c r="C461" s="26" t="s">
        <v>770</v>
      </c>
      <c r="E461" s="197">
        <v>500</v>
      </c>
      <c r="F461" s="197">
        <v>99.54</v>
      </c>
      <c r="G461" s="27">
        <v>500</v>
      </c>
      <c r="H461" s="27">
        <v>500</v>
      </c>
      <c r="I461" s="27">
        <v>99.54</v>
      </c>
      <c r="L461" s="104"/>
      <c r="P461" s="102"/>
    </row>
    <row r="462" spans="1:16" x14ac:dyDescent="0.25">
      <c r="A462" s="41"/>
      <c r="B462" s="84">
        <v>3234</v>
      </c>
      <c r="C462" s="38" t="s">
        <v>224</v>
      </c>
      <c r="D462" s="148">
        <f t="shared" ref="D462:I462" si="226">SUM(D463:D466)</f>
        <v>0</v>
      </c>
      <c r="E462" s="196">
        <f>SUM(E463:E466)</f>
        <v>1085.53</v>
      </c>
      <c r="F462" s="196">
        <f t="shared" ref="F462" si="227">SUM(F463:F466)</f>
        <v>2527.96</v>
      </c>
      <c r="G462" s="148">
        <f t="shared" si="226"/>
        <v>3000</v>
      </c>
      <c r="H462" s="148">
        <f>SUM(H463:H466)</f>
        <v>4000</v>
      </c>
      <c r="I462" s="148">
        <f t="shared" si="226"/>
        <v>2527.96</v>
      </c>
      <c r="L462" s="104"/>
      <c r="P462" s="102"/>
    </row>
    <row r="463" spans="1:16" x14ac:dyDescent="0.25">
      <c r="B463" s="24">
        <v>32341</v>
      </c>
      <c r="C463" s="26" t="s">
        <v>225</v>
      </c>
      <c r="E463" s="197">
        <v>814.3</v>
      </c>
      <c r="F463" s="197">
        <v>1821.63</v>
      </c>
      <c r="G463" s="27">
        <v>2000</v>
      </c>
      <c r="H463" s="27">
        <v>2500</v>
      </c>
      <c r="I463" s="27">
        <v>1821.63</v>
      </c>
      <c r="L463" s="104"/>
      <c r="P463" s="102"/>
    </row>
    <row r="464" spans="1:16" x14ac:dyDescent="0.25">
      <c r="B464" s="24">
        <v>32342</v>
      </c>
      <c r="C464" s="26" t="s">
        <v>842</v>
      </c>
      <c r="E464" s="197">
        <v>238.04</v>
      </c>
      <c r="F464" s="197">
        <v>639.95000000000005</v>
      </c>
      <c r="G464" s="27">
        <v>500</v>
      </c>
      <c r="H464" s="27">
        <v>1000</v>
      </c>
      <c r="I464" s="27">
        <v>639.95000000000005</v>
      </c>
      <c r="L464" s="104"/>
      <c r="P464" s="102"/>
    </row>
    <row r="465" spans="1:16" x14ac:dyDescent="0.25">
      <c r="B465" s="24">
        <v>32343</v>
      </c>
      <c r="C465" s="26" t="s">
        <v>227</v>
      </c>
      <c r="E465" s="197">
        <v>33.19</v>
      </c>
      <c r="F465" s="197">
        <v>66.38</v>
      </c>
      <c r="G465" s="27">
        <v>500</v>
      </c>
      <c r="H465" s="27">
        <v>500</v>
      </c>
      <c r="I465" s="27">
        <v>66.38</v>
      </c>
      <c r="L465" s="104"/>
      <c r="P465" s="102"/>
    </row>
    <row r="466" spans="1:16" x14ac:dyDescent="0.25">
      <c r="B466" s="24">
        <v>32344</v>
      </c>
      <c r="C466" s="26" t="s">
        <v>228</v>
      </c>
      <c r="L466" s="104"/>
      <c r="P466" s="102"/>
    </row>
    <row r="467" spans="1:16" x14ac:dyDescent="0.25">
      <c r="A467" s="41"/>
      <c r="B467" s="84">
        <v>3236</v>
      </c>
      <c r="C467" s="38" t="s">
        <v>238</v>
      </c>
      <c r="D467" s="148">
        <f t="shared" ref="D467:I467" si="228">SUM(D468:D469)</f>
        <v>0</v>
      </c>
      <c r="E467" s="196">
        <f>SUM(E468:E469)</f>
        <v>552.82999999999993</v>
      </c>
      <c r="F467" s="196">
        <f t="shared" ref="F467" si="229">SUM(F468:F469)</f>
        <v>1069.9100000000001</v>
      </c>
      <c r="G467" s="148">
        <f t="shared" si="228"/>
        <v>2000</v>
      </c>
      <c r="H467" s="148">
        <f>SUM(H468:H469)</f>
        <v>2000</v>
      </c>
      <c r="I467" s="148">
        <f t="shared" si="228"/>
        <v>1069.9100000000001</v>
      </c>
      <c r="L467" s="104"/>
      <c r="P467" s="102"/>
    </row>
    <row r="468" spans="1:16" x14ac:dyDescent="0.25">
      <c r="B468" s="24">
        <v>32361</v>
      </c>
      <c r="C468" s="26" t="s">
        <v>771</v>
      </c>
      <c r="E468" s="197">
        <v>423.4</v>
      </c>
      <c r="F468" s="197">
        <v>837.6</v>
      </c>
      <c r="G468" s="27">
        <v>1000</v>
      </c>
      <c r="H468" s="27">
        <v>1000</v>
      </c>
      <c r="I468" s="27">
        <v>837.6</v>
      </c>
      <c r="L468" s="104"/>
      <c r="P468" s="102"/>
    </row>
    <row r="469" spans="1:16" x14ac:dyDescent="0.25">
      <c r="B469" s="24">
        <v>32363</v>
      </c>
      <c r="C469" s="26" t="s">
        <v>772</v>
      </c>
      <c r="E469" s="197">
        <v>129.43</v>
      </c>
      <c r="F469" s="197">
        <v>232.31</v>
      </c>
      <c r="G469" s="27">
        <v>1000</v>
      </c>
      <c r="H469" s="27">
        <v>1000</v>
      </c>
      <c r="I469" s="27">
        <v>232.31</v>
      </c>
      <c r="L469" s="104"/>
      <c r="P469" s="102"/>
    </row>
    <row r="470" spans="1:16" x14ac:dyDescent="0.25">
      <c r="A470" s="41"/>
      <c r="B470" s="84">
        <v>3237</v>
      </c>
      <c r="C470" s="38" t="s">
        <v>242</v>
      </c>
      <c r="D470" s="148">
        <f t="shared" ref="D470:I470" si="230">SUM(D471:D475)</f>
        <v>0</v>
      </c>
      <c r="E470" s="196">
        <f>SUM(E471:E475)</f>
        <v>2040</v>
      </c>
      <c r="F470" s="196">
        <f t="shared" ref="F470" si="231">SUM(F471:F475)</f>
        <v>4080.02</v>
      </c>
      <c r="G470" s="148">
        <f t="shared" si="230"/>
        <v>5000</v>
      </c>
      <c r="H470" s="148">
        <f>SUM(H471:H475)</f>
        <v>5500</v>
      </c>
      <c r="I470" s="148">
        <f t="shared" si="230"/>
        <v>4080.02</v>
      </c>
      <c r="L470" s="104"/>
      <c r="P470" s="102"/>
    </row>
    <row r="471" spans="1:16" x14ac:dyDescent="0.25">
      <c r="B471" s="24">
        <v>32372</v>
      </c>
      <c r="C471" s="26" t="s">
        <v>244</v>
      </c>
      <c r="G471" s="27">
        <v>1000</v>
      </c>
      <c r="H471" s="27">
        <v>1000</v>
      </c>
      <c r="L471" s="104"/>
      <c r="P471" s="102"/>
    </row>
    <row r="472" spans="1:16" x14ac:dyDescent="0.25">
      <c r="B472" s="24">
        <v>32373</v>
      </c>
      <c r="C472" s="26" t="s">
        <v>773</v>
      </c>
      <c r="L472" s="104"/>
      <c r="P472" s="102"/>
    </row>
    <row r="473" spans="1:16" x14ac:dyDescent="0.25">
      <c r="B473" s="24">
        <v>32376</v>
      </c>
      <c r="C473" s="26" t="s">
        <v>774</v>
      </c>
      <c r="L473" s="104"/>
      <c r="P473" s="102"/>
    </row>
    <row r="474" spans="1:16" x14ac:dyDescent="0.25">
      <c r="B474" s="24">
        <v>32378</v>
      </c>
      <c r="C474" s="26" t="s">
        <v>775</v>
      </c>
      <c r="E474" s="197">
        <v>1875</v>
      </c>
      <c r="F474" s="197">
        <v>3750.02</v>
      </c>
      <c r="G474" s="27">
        <v>3500</v>
      </c>
      <c r="H474" s="27">
        <v>4000</v>
      </c>
      <c r="I474" s="27">
        <v>3750.02</v>
      </c>
      <c r="L474" s="104"/>
      <c r="P474" s="102"/>
    </row>
    <row r="475" spans="1:16" x14ac:dyDescent="0.25">
      <c r="B475" s="24">
        <v>32379</v>
      </c>
      <c r="C475" s="26" t="s">
        <v>247</v>
      </c>
      <c r="E475" s="197">
        <v>165</v>
      </c>
      <c r="F475" s="197">
        <v>330</v>
      </c>
      <c r="G475" s="27">
        <v>500</v>
      </c>
      <c r="H475" s="27">
        <v>500</v>
      </c>
      <c r="I475" s="27">
        <v>330</v>
      </c>
      <c r="L475" s="104"/>
      <c r="P475" s="102"/>
    </row>
    <row r="476" spans="1:16" x14ac:dyDescent="0.25">
      <c r="A476" s="41"/>
      <c r="B476" s="84">
        <v>3238</v>
      </c>
      <c r="C476" s="38" t="s">
        <v>249</v>
      </c>
      <c r="D476" s="148">
        <f t="shared" ref="D476:I476" si="232">SUM(D477)</f>
        <v>0</v>
      </c>
      <c r="E476" s="196">
        <f t="shared" si="232"/>
        <v>65.59</v>
      </c>
      <c r="F476" s="196">
        <f t="shared" si="232"/>
        <v>65.59</v>
      </c>
      <c r="G476" s="148">
        <f t="shared" si="232"/>
        <v>500</v>
      </c>
      <c r="H476" s="148">
        <f t="shared" si="232"/>
        <v>500</v>
      </c>
      <c r="I476" s="148">
        <f t="shared" si="232"/>
        <v>65.59</v>
      </c>
      <c r="L476" s="104"/>
      <c r="P476" s="102"/>
    </row>
    <row r="477" spans="1:16" x14ac:dyDescent="0.25">
      <c r="B477" s="24">
        <v>32389</v>
      </c>
      <c r="C477" s="26" t="s">
        <v>251</v>
      </c>
      <c r="E477" s="197">
        <v>65.59</v>
      </c>
      <c r="F477" s="197">
        <v>65.59</v>
      </c>
      <c r="G477" s="27">
        <v>500</v>
      </c>
      <c r="H477" s="27">
        <v>500</v>
      </c>
      <c r="I477" s="27">
        <v>65.59</v>
      </c>
      <c r="L477" s="104"/>
      <c r="P477" s="102"/>
    </row>
    <row r="478" spans="1:16" x14ac:dyDescent="0.25">
      <c r="A478" s="41"/>
      <c r="B478" s="84">
        <v>3239</v>
      </c>
      <c r="C478" s="38" t="s">
        <v>252</v>
      </c>
      <c r="D478" s="148">
        <f>SUM(D479)</f>
        <v>0</v>
      </c>
      <c r="E478" s="196">
        <f>SUM(E479:E480)</f>
        <v>0</v>
      </c>
      <c r="F478" s="196">
        <f>SUM(F479:F480)</f>
        <v>0</v>
      </c>
      <c r="G478" s="148">
        <f>SUM(G479:G480)</f>
        <v>0</v>
      </c>
      <c r="H478" s="148">
        <f>SUM(H479:H480)</f>
        <v>0</v>
      </c>
      <c r="I478" s="148">
        <f>SUM(I479:I480)</f>
        <v>0</v>
      </c>
      <c r="L478" s="104"/>
      <c r="P478" s="102"/>
    </row>
    <row r="479" spans="1:16" x14ac:dyDescent="0.25">
      <c r="B479" s="24">
        <v>32391</v>
      </c>
      <c r="C479" s="26" t="s">
        <v>776</v>
      </c>
      <c r="L479" s="104"/>
      <c r="P479" s="102"/>
    </row>
    <row r="480" spans="1:16" x14ac:dyDescent="0.25">
      <c r="B480" s="24">
        <v>32395</v>
      </c>
      <c r="C480" s="26" t="s">
        <v>966</v>
      </c>
      <c r="L480" s="104"/>
      <c r="P480" s="102"/>
    </row>
    <row r="481" spans="1:21" x14ac:dyDescent="0.25">
      <c r="A481" s="36"/>
      <c r="B481" s="72">
        <v>324</v>
      </c>
      <c r="C481" s="88" t="s">
        <v>529</v>
      </c>
      <c r="D481" s="165">
        <f>SUM(D482)</f>
        <v>0</v>
      </c>
      <c r="E481" s="200">
        <f t="shared" ref="E481:I482" si="233">SUM(E482)</f>
        <v>0</v>
      </c>
      <c r="F481" s="200">
        <f t="shared" si="233"/>
        <v>0</v>
      </c>
      <c r="G481" s="165">
        <f t="shared" si="233"/>
        <v>0</v>
      </c>
      <c r="H481" s="165">
        <f t="shared" si="233"/>
        <v>0</v>
      </c>
      <c r="I481" s="165">
        <f t="shared" si="233"/>
        <v>0</v>
      </c>
      <c r="L481" s="104"/>
      <c r="P481" s="102"/>
    </row>
    <row r="482" spans="1:21" x14ac:dyDescent="0.25">
      <c r="A482" s="41"/>
      <c r="B482" s="84">
        <v>3241</v>
      </c>
      <c r="C482" s="85" t="s">
        <v>529</v>
      </c>
      <c r="D482" s="148">
        <f>SUM(D483)</f>
        <v>0</v>
      </c>
      <c r="E482" s="196">
        <f t="shared" si="233"/>
        <v>0</v>
      </c>
      <c r="F482" s="196">
        <f t="shared" si="233"/>
        <v>0</v>
      </c>
      <c r="G482" s="148">
        <f t="shared" si="233"/>
        <v>0</v>
      </c>
      <c r="H482" s="148">
        <f t="shared" si="233"/>
        <v>0</v>
      </c>
      <c r="I482" s="148">
        <f t="shared" si="233"/>
        <v>0</v>
      </c>
      <c r="L482" s="104"/>
      <c r="P482" s="102"/>
    </row>
    <row r="483" spans="1:21" x14ac:dyDescent="0.25">
      <c r="B483" s="24">
        <v>32412</v>
      </c>
      <c r="C483" s="26" t="s">
        <v>777</v>
      </c>
      <c r="L483" s="104"/>
      <c r="P483" s="102"/>
    </row>
    <row r="484" spans="1:21" x14ac:dyDescent="0.25">
      <c r="A484" s="36"/>
      <c r="B484" s="72">
        <v>329</v>
      </c>
      <c r="C484" s="12" t="s">
        <v>261</v>
      </c>
      <c r="D484" s="165">
        <f t="shared" ref="D484:I484" si="234">SUM(D485+D488+D491)</f>
        <v>0</v>
      </c>
      <c r="E484" s="200">
        <f>SUM(E485+E488+E491)</f>
        <v>64.7</v>
      </c>
      <c r="F484" s="200">
        <f t="shared" ref="F484" si="235">SUM(F485+F488+F491)</f>
        <v>280.43</v>
      </c>
      <c r="G484" s="165">
        <f t="shared" si="234"/>
        <v>500</v>
      </c>
      <c r="H484" s="165">
        <f>SUM(H485+H488+H491)</f>
        <v>1000</v>
      </c>
      <c r="I484" s="165">
        <f t="shared" si="234"/>
        <v>280.43</v>
      </c>
      <c r="L484" s="104"/>
      <c r="P484" s="102"/>
    </row>
    <row r="485" spans="1:21" x14ac:dyDescent="0.25">
      <c r="A485" s="41"/>
      <c r="B485" s="84">
        <v>3291</v>
      </c>
      <c r="C485" s="38" t="s">
        <v>262</v>
      </c>
      <c r="D485" s="148">
        <f t="shared" ref="D485:I485" si="236">SUM(D486:D487)</f>
        <v>0</v>
      </c>
      <c r="E485" s="196">
        <f>SUM(E486:E487)</f>
        <v>0</v>
      </c>
      <c r="F485" s="196">
        <f t="shared" ref="F485" si="237">SUM(F486:F487)</f>
        <v>0</v>
      </c>
      <c r="G485" s="148">
        <f t="shared" si="236"/>
        <v>0</v>
      </c>
      <c r="H485" s="148">
        <f>SUM(H486:H487)</f>
        <v>0</v>
      </c>
      <c r="I485" s="148">
        <f t="shared" si="236"/>
        <v>0</v>
      </c>
      <c r="L485" s="104"/>
      <c r="P485" s="102"/>
    </row>
    <row r="486" spans="1:21" x14ac:dyDescent="0.25">
      <c r="B486" s="24">
        <v>32911</v>
      </c>
      <c r="C486" s="26" t="s">
        <v>778</v>
      </c>
      <c r="L486" s="104"/>
      <c r="P486" s="102"/>
    </row>
    <row r="487" spans="1:21" x14ac:dyDescent="0.25">
      <c r="B487" s="24">
        <v>32912</v>
      </c>
      <c r="C487" s="26" t="s">
        <v>269</v>
      </c>
      <c r="L487" s="104"/>
      <c r="P487" s="102"/>
    </row>
    <row r="488" spans="1:21" x14ac:dyDescent="0.25">
      <c r="A488" s="41"/>
      <c r="B488" s="84">
        <v>3292</v>
      </c>
      <c r="C488" s="38" t="s">
        <v>270</v>
      </c>
      <c r="D488" s="148">
        <f t="shared" ref="D488:I488" si="238">SUM(D489:D490)</f>
        <v>0</v>
      </c>
      <c r="E488" s="196">
        <f>SUM(E489:E490)</f>
        <v>0</v>
      </c>
      <c r="F488" s="196">
        <f t="shared" ref="F488" si="239">SUM(F489:F490)</f>
        <v>215.73</v>
      </c>
      <c r="G488" s="148">
        <f t="shared" si="238"/>
        <v>500</v>
      </c>
      <c r="H488" s="148">
        <f>SUM(H489:H490)</f>
        <v>500</v>
      </c>
      <c r="I488" s="148">
        <f t="shared" si="238"/>
        <v>215.73</v>
      </c>
      <c r="L488" s="104"/>
      <c r="P488" s="102"/>
    </row>
    <row r="489" spans="1:21" x14ac:dyDescent="0.25">
      <c r="B489" s="24">
        <v>32921</v>
      </c>
      <c r="C489" s="26" t="s">
        <v>779</v>
      </c>
      <c r="F489" s="197">
        <v>215.73</v>
      </c>
      <c r="G489" s="27">
        <v>500</v>
      </c>
      <c r="H489" s="27">
        <v>500</v>
      </c>
      <c r="I489" s="27">
        <v>215.73</v>
      </c>
      <c r="L489" s="104"/>
      <c r="P489" s="102"/>
    </row>
    <row r="490" spans="1:21" x14ac:dyDescent="0.25">
      <c r="B490" s="24">
        <v>32923</v>
      </c>
      <c r="C490" s="26" t="s">
        <v>780</v>
      </c>
      <c r="L490" s="104"/>
      <c r="P490" s="102"/>
    </row>
    <row r="491" spans="1:21" x14ac:dyDescent="0.25">
      <c r="B491" s="84">
        <v>3293</v>
      </c>
      <c r="C491" s="85" t="s">
        <v>274</v>
      </c>
      <c r="D491" s="148">
        <f t="shared" ref="D491:I491" si="240">SUM(D492:D493)</f>
        <v>0</v>
      </c>
      <c r="E491" s="196">
        <f t="shared" ref="E491:F491" si="241">SUM(E492:E493)</f>
        <v>64.7</v>
      </c>
      <c r="F491" s="196">
        <f t="shared" si="241"/>
        <v>64.7</v>
      </c>
      <c r="G491" s="148">
        <f t="shared" si="240"/>
        <v>0</v>
      </c>
      <c r="H491" s="148">
        <f t="shared" si="240"/>
        <v>500</v>
      </c>
      <c r="I491" s="148">
        <f t="shared" si="240"/>
        <v>64.7</v>
      </c>
      <c r="L491" s="104"/>
      <c r="P491" s="102"/>
    </row>
    <row r="492" spans="1:21" x14ac:dyDescent="0.25">
      <c r="B492" s="24">
        <v>32931</v>
      </c>
      <c r="C492" s="26" t="s">
        <v>62</v>
      </c>
      <c r="L492" s="104"/>
      <c r="P492" s="102"/>
    </row>
    <row r="493" spans="1:21" s="46" customFormat="1" x14ac:dyDescent="0.25">
      <c r="B493" s="257">
        <v>32999</v>
      </c>
      <c r="C493" s="258" t="s">
        <v>7</v>
      </c>
      <c r="D493" s="198"/>
      <c r="E493" s="197">
        <v>64.7</v>
      </c>
      <c r="F493" s="197">
        <v>64.7</v>
      </c>
      <c r="G493" s="27"/>
      <c r="H493" s="27">
        <v>500</v>
      </c>
      <c r="I493" s="27">
        <v>64.7</v>
      </c>
      <c r="J493" s="197"/>
      <c r="K493" s="259"/>
      <c r="L493" s="260"/>
      <c r="M493" s="261"/>
      <c r="N493" s="250"/>
      <c r="O493" s="250"/>
      <c r="P493" s="251"/>
      <c r="Q493" s="252"/>
      <c r="R493" s="252"/>
      <c r="S493" s="252"/>
      <c r="T493" s="256"/>
      <c r="U493" s="256"/>
    </row>
    <row r="494" spans="1:21" x14ac:dyDescent="0.25">
      <c r="A494" s="33"/>
      <c r="B494" s="7">
        <v>34</v>
      </c>
      <c r="C494" s="10" t="s">
        <v>285</v>
      </c>
      <c r="D494" s="143">
        <f>SUM(D495)</f>
        <v>0</v>
      </c>
      <c r="E494" s="195">
        <f t="shared" ref="E494:I495" si="242">SUM(E495)</f>
        <v>653.99</v>
      </c>
      <c r="F494" s="195">
        <f t="shared" si="242"/>
        <v>1313.75</v>
      </c>
      <c r="G494" s="143">
        <f t="shared" si="242"/>
        <v>2000</v>
      </c>
      <c r="H494" s="143">
        <f t="shared" si="242"/>
        <v>2000</v>
      </c>
      <c r="I494" s="143">
        <f t="shared" si="242"/>
        <v>1313.75</v>
      </c>
      <c r="L494" s="104"/>
      <c r="P494" s="102"/>
    </row>
    <row r="495" spans="1:21" x14ac:dyDescent="0.25">
      <c r="A495" s="36"/>
      <c r="B495" s="72">
        <v>343</v>
      </c>
      <c r="C495" s="12" t="s">
        <v>286</v>
      </c>
      <c r="D495" s="165">
        <f>SUM(D496)</f>
        <v>0</v>
      </c>
      <c r="E495" s="200">
        <f t="shared" si="242"/>
        <v>653.99</v>
      </c>
      <c r="F495" s="200">
        <f t="shared" si="242"/>
        <v>1313.75</v>
      </c>
      <c r="G495" s="165">
        <f t="shared" si="242"/>
        <v>2000</v>
      </c>
      <c r="H495" s="165">
        <f t="shared" si="242"/>
        <v>2000</v>
      </c>
      <c r="I495" s="165">
        <f t="shared" si="242"/>
        <v>1313.75</v>
      </c>
      <c r="L495" s="104"/>
      <c r="P495" s="102"/>
    </row>
    <row r="496" spans="1:21" x14ac:dyDescent="0.25">
      <c r="A496" s="41"/>
      <c r="B496" s="84">
        <v>3431</v>
      </c>
      <c r="C496" s="38" t="s">
        <v>286</v>
      </c>
      <c r="D496" s="148">
        <f>SUM(D497)</f>
        <v>0</v>
      </c>
      <c r="E496" s="196">
        <f>SUM(E497:E498)</f>
        <v>653.99</v>
      </c>
      <c r="F496" s="196">
        <f>SUM(F497:F498)</f>
        <v>1313.75</v>
      </c>
      <c r="G496" s="148">
        <f>SUM(G497:G498)</f>
        <v>2000</v>
      </c>
      <c r="H496" s="148">
        <f>SUM(H497:H498)</f>
        <v>2000</v>
      </c>
      <c r="I496" s="148">
        <f>SUM(I497:I498)</f>
        <v>1313.75</v>
      </c>
      <c r="L496" s="104"/>
      <c r="P496" s="102"/>
    </row>
    <row r="497" spans="1:23" x14ac:dyDescent="0.25">
      <c r="B497" s="24">
        <v>34312</v>
      </c>
      <c r="C497" s="26" t="s">
        <v>289</v>
      </c>
      <c r="E497" s="197">
        <v>645.69000000000005</v>
      </c>
      <c r="F497" s="197">
        <v>1293.83</v>
      </c>
      <c r="G497" s="27">
        <v>1500</v>
      </c>
      <c r="H497" s="27">
        <v>1500</v>
      </c>
      <c r="I497" s="27">
        <v>1293.83</v>
      </c>
      <c r="L497" s="104"/>
      <c r="P497" s="102"/>
    </row>
    <row r="498" spans="1:23" x14ac:dyDescent="0.25">
      <c r="B498" s="24">
        <v>34349</v>
      </c>
      <c r="C498" s="26" t="s">
        <v>892</v>
      </c>
      <c r="E498" s="197">
        <v>8.3000000000000007</v>
      </c>
      <c r="F498" s="197">
        <v>19.920000000000002</v>
      </c>
      <c r="G498" s="27">
        <v>500</v>
      </c>
      <c r="H498" s="27">
        <v>500</v>
      </c>
      <c r="I498" s="27">
        <v>19.920000000000002</v>
      </c>
      <c r="L498" s="104"/>
      <c r="P498" s="102"/>
    </row>
    <row r="499" spans="1:23" x14ac:dyDescent="0.25">
      <c r="A499" s="33"/>
      <c r="B499" s="7">
        <v>38</v>
      </c>
      <c r="C499" s="10" t="s">
        <v>305</v>
      </c>
      <c r="D499" s="143">
        <f>SUM(D500)</f>
        <v>0</v>
      </c>
      <c r="E499" s="195">
        <f t="shared" ref="E499:I500" si="243">SUM(E500)</f>
        <v>0</v>
      </c>
      <c r="F499" s="195">
        <f t="shared" si="243"/>
        <v>0</v>
      </c>
      <c r="G499" s="143">
        <f t="shared" si="243"/>
        <v>0</v>
      </c>
      <c r="H499" s="143">
        <f t="shared" si="243"/>
        <v>0</v>
      </c>
      <c r="I499" s="143">
        <f t="shared" si="243"/>
        <v>0</v>
      </c>
      <c r="L499" s="104"/>
      <c r="P499" s="102"/>
    </row>
    <row r="500" spans="1:23" x14ac:dyDescent="0.25">
      <c r="A500" s="36"/>
      <c r="B500" s="72">
        <v>381</v>
      </c>
      <c r="C500" s="12" t="s">
        <v>306</v>
      </c>
      <c r="D500" s="165">
        <f>SUM(D501)</f>
        <v>0</v>
      </c>
      <c r="E500" s="200">
        <f t="shared" si="243"/>
        <v>0</v>
      </c>
      <c r="F500" s="200">
        <f t="shared" si="243"/>
        <v>0</v>
      </c>
      <c r="G500" s="165">
        <f t="shared" si="243"/>
        <v>0</v>
      </c>
      <c r="H500" s="165">
        <f t="shared" si="243"/>
        <v>0</v>
      </c>
      <c r="I500" s="165">
        <f t="shared" si="243"/>
        <v>0</v>
      </c>
      <c r="L500" s="104"/>
      <c r="P500" s="102"/>
    </row>
    <row r="501" spans="1:23" x14ac:dyDescent="0.25">
      <c r="B501" s="24">
        <v>38118</v>
      </c>
      <c r="C501" s="26" t="s">
        <v>781</v>
      </c>
      <c r="L501" s="104"/>
      <c r="P501" s="102"/>
    </row>
    <row r="502" spans="1:23" x14ac:dyDescent="0.25">
      <c r="A502" s="33"/>
      <c r="B502" s="7">
        <v>4</v>
      </c>
      <c r="C502" s="10" t="s">
        <v>144</v>
      </c>
      <c r="D502" s="68">
        <f t="shared" ref="D502:I502" si="244">SUM(D503)</f>
        <v>0</v>
      </c>
      <c r="E502" s="199">
        <f t="shared" si="244"/>
        <v>0</v>
      </c>
      <c r="F502" s="199">
        <f t="shared" si="244"/>
        <v>0</v>
      </c>
      <c r="G502" s="68">
        <f t="shared" si="244"/>
        <v>0</v>
      </c>
      <c r="H502" s="68">
        <f t="shared" si="244"/>
        <v>0</v>
      </c>
      <c r="I502" s="68">
        <f t="shared" si="244"/>
        <v>0</v>
      </c>
      <c r="L502" s="104"/>
      <c r="P502" s="102"/>
    </row>
    <row r="503" spans="1:23" x14ac:dyDescent="0.25">
      <c r="A503" s="33"/>
      <c r="B503" s="7">
        <v>42</v>
      </c>
      <c r="C503" s="10" t="s">
        <v>356</v>
      </c>
      <c r="D503" s="68">
        <f t="shared" ref="D503:I503" si="245">SUM(D504:D507)</f>
        <v>0</v>
      </c>
      <c r="E503" s="199">
        <f>SUM(E504:E507)</f>
        <v>0</v>
      </c>
      <c r="F503" s="199">
        <f t="shared" ref="F503" si="246">SUM(F504:F507)</f>
        <v>0</v>
      </c>
      <c r="G503" s="68">
        <f t="shared" si="245"/>
        <v>0</v>
      </c>
      <c r="H503" s="68">
        <f>SUM(H504:H507)</f>
        <v>0</v>
      </c>
      <c r="I503" s="68">
        <f t="shared" si="245"/>
        <v>0</v>
      </c>
      <c r="L503" s="104"/>
      <c r="P503" s="102"/>
      <c r="V503" s="43"/>
      <c r="W503" s="43"/>
    </row>
    <row r="504" spans="1:23" s="43" customFormat="1" x14ac:dyDescent="0.25">
      <c r="B504" s="86">
        <v>4221</v>
      </c>
      <c r="C504" s="87" t="s">
        <v>837</v>
      </c>
      <c r="D504" s="69"/>
      <c r="E504" s="203"/>
      <c r="F504" s="203"/>
      <c r="G504" s="69"/>
      <c r="H504" s="69"/>
      <c r="I504" s="69"/>
      <c r="J504" s="69"/>
      <c r="K504" s="50"/>
      <c r="L504" s="104"/>
      <c r="M504" s="83"/>
      <c r="N504" s="76"/>
      <c r="O504" s="76"/>
      <c r="P504" s="102"/>
      <c r="Q504" s="74"/>
      <c r="R504" s="74"/>
      <c r="S504" s="74"/>
      <c r="T504" s="109"/>
      <c r="U504" s="109"/>
    </row>
    <row r="505" spans="1:23" s="43" customFormat="1" x14ac:dyDescent="0.25">
      <c r="B505" s="86">
        <v>4222</v>
      </c>
      <c r="C505" s="87" t="s">
        <v>838</v>
      </c>
      <c r="D505" s="69"/>
      <c r="E505" s="203"/>
      <c r="F505" s="203"/>
      <c r="G505" s="69"/>
      <c r="H505" s="69"/>
      <c r="I505" s="69"/>
      <c r="J505" s="69"/>
      <c r="K505" s="50"/>
      <c r="L505" s="104"/>
      <c r="M505" s="83"/>
      <c r="N505" s="76"/>
      <c r="O505" s="76"/>
      <c r="P505" s="102"/>
      <c r="Q505" s="74"/>
      <c r="R505" s="74"/>
      <c r="S505" s="74"/>
      <c r="T505" s="109"/>
      <c r="U505" s="109"/>
    </row>
    <row r="506" spans="1:23" s="43" customFormat="1" x14ac:dyDescent="0.25">
      <c r="B506" s="86">
        <v>4223</v>
      </c>
      <c r="C506" s="87" t="s">
        <v>874</v>
      </c>
      <c r="D506" s="69"/>
      <c r="E506" s="203"/>
      <c r="F506" s="203"/>
      <c r="G506" s="69"/>
      <c r="H506" s="69"/>
      <c r="I506" s="69"/>
      <c r="J506" s="69"/>
      <c r="K506" s="50"/>
      <c r="L506" s="104"/>
      <c r="M506" s="83"/>
      <c r="N506" s="76"/>
      <c r="O506" s="76"/>
      <c r="P506" s="102"/>
      <c r="Q506" s="74"/>
      <c r="R506" s="74"/>
      <c r="S506" s="74"/>
      <c r="T506" s="109"/>
      <c r="U506" s="109"/>
      <c r="V506" s="25"/>
      <c r="W506" s="25"/>
    </row>
    <row r="507" spans="1:23" x14ac:dyDescent="0.25">
      <c r="B507" s="24">
        <v>42273</v>
      </c>
      <c r="C507" s="26" t="s">
        <v>782</v>
      </c>
      <c r="L507" s="104"/>
      <c r="P507" s="102"/>
    </row>
    <row r="508" spans="1:23" x14ac:dyDescent="0.25">
      <c r="L508" s="104"/>
      <c r="P508" s="102"/>
    </row>
    <row r="509" spans="1:23" x14ac:dyDescent="0.25">
      <c r="L509" s="104"/>
      <c r="P509" s="102"/>
    </row>
    <row r="510" spans="1:23" x14ac:dyDescent="0.25">
      <c r="A510" s="25" t="s">
        <v>923</v>
      </c>
      <c r="L510" s="104"/>
      <c r="P510" s="102"/>
    </row>
    <row r="511" spans="1:23" x14ac:dyDescent="0.25">
      <c r="D511" s="27"/>
      <c r="L511" s="104"/>
      <c r="P511" s="102"/>
    </row>
    <row r="512" spans="1:23" x14ac:dyDescent="0.25">
      <c r="A512" s="33"/>
      <c r="B512" s="7"/>
      <c r="C512" s="73" t="s">
        <v>559</v>
      </c>
      <c r="D512" s="68">
        <f t="shared" ref="D512:I512" si="247">SUM(D513+D564)</f>
        <v>0</v>
      </c>
      <c r="E512" s="199">
        <f>SUM(E513+E564)</f>
        <v>20026.39</v>
      </c>
      <c r="F512" s="199">
        <f t="shared" ref="F512" si="248">SUM(F513+F564)</f>
        <v>37169.869999999995</v>
      </c>
      <c r="G512" s="68">
        <f t="shared" si="247"/>
        <v>41500</v>
      </c>
      <c r="H512" s="68">
        <f>SUM(H513+H564)</f>
        <v>45200</v>
      </c>
      <c r="I512" s="68">
        <f t="shared" si="247"/>
        <v>37169.869999999995</v>
      </c>
      <c r="L512" s="104"/>
      <c r="P512" s="102"/>
    </row>
    <row r="513" spans="1:16" x14ac:dyDescent="0.25">
      <c r="A513" s="33"/>
      <c r="B513" s="7">
        <v>3</v>
      </c>
      <c r="C513" s="10" t="s">
        <v>145</v>
      </c>
      <c r="D513" s="143">
        <f t="shared" ref="D513:I513" si="249">SUM(D514+D528+D560)</f>
        <v>0</v>
      </c>
      <c r="E513" s="195">
        <f>SUM(E514+E528+E560)</f>
        <v>11572.96</v>
      </c>
      <c r="F513" s="195">
        <f t="shared" ref="F513" si="250">SUM(F514+F528+F560)</f>
        <v>24548.75</v>
      </c>
      <c r="G513" s="143">
        <f t="shared" si="249"/>
        <v>36700</v>
      </c>
      <c r="H513" s="143">
        <f>SUM(H514+H528+H560)</f>
        <v>32500</v>
      </c>
      <c r="I513" s="143">
        <f t="shared" si="249"/>
        <v>24548.75</v>
      </c>
      <c r="L513" s="105"/>
      <c r="M513" s="106"/>
      <c r="N513" s="107"/>
      <c r="O513" s="107"/>
      <c r="P513" s="108"/>
    </row>
    <row r="514" spans="1:16" x14ac:dyDescent="0.25">
      <c r="A514" s="33"/>
      <c r="B514" s="7">
        <v>31</v>
      </c>
      <c r="C514" s="10" t="s">
        <v>146</v>
      </c>
      <c r="D514" s="143">
        <f t="shared" ref="D514:I514" si="251">SUM(D515+D518+D522)</f>
        <v>0</v>
      </c>
      <c r="E514" s="195">
        <f>SUM(E515+E518+E522)</f>
        <v>10392.689999999999</v>
      </c>
      <c r="F514" s="195">
        <f t="shared" ref="F514" si="252">SUM(F515+F518+F522)</f>
        <v>21514.7</v>
      </c>
      <c r="G514" s="143">
        <f t="shared" si="251"/>
        <v>21800</v>
      </c>
      <c r="H514" s="143">
        <f>SUM(H515+H518+H522)</f>
        <v>24300</v>
      </c>
      <c r="I514" s="143">
        <f t="shared" si="251"/>
        <v>21514.7</v>
      </c>
    </row>
    <row r="515" spans="1:16" x14ac:dyDescent="0.25">
      <c r="A515" s="36"/>
      <c r="B515" s="72">
        <v>311</v>
      </c>
      <c r="C515" s="12" t="s">
        <v>147</v>
      </c>
      <c r="D515" s="165">
        <f t="shared" ref="D515:I515" si="253">SUM(D516)</f>
        <v>0</v>
      </c>
      <c r="E515" s="200">
        <f t="shared" si="253"/>
        <v>6999.29</v>
      </c>
      <c r="F515" s="200">
        <f t="shared" si="253"/>
        <v>14227.23</v>
      </c>
      <c r="G515" s="165">
        <f t="shared" si="253"/>
        <v>18100</v>
      </c>
      <c r="H515" s="165">
        <f t="shared" si="253"/>
        <v>16100</v>
      </c>
      <c r="I515" s="165">
        <f t="shared" si="253"/>
        <v>14227.23</v>
      </c>
    </row>
    <row r="516" spans="1:16" x14ac:dyDescent="0.25">
      <c r="A516" s="41"/>
      <c r="B516" s="84">
        <v>3111</v>
      </c>
      <c r="C516" s="38" t="s">
        <v>72</v>
      </c>
      <c r="D516" s="148">
        <f t="shared" ref="D516:I516" si="254">SUM(D517:D517)</f>
        <v>0</v>
      </c>
      <c r="E516" s="196">
        <f t="shared" si="254"/>
        <v>6999.29</v>
      </c>
      <c r="F516" s="196">
        <f t="shared" si="254"/>
        <v>14227.23</v>
      </c>
      <c r="G516" s="148">
        <f t="shared" si="254"/>
        <v>18100</v>
      </c>
      <c r="H516" s="148">
        <f t="shared" si="254"/>
        <v>16100</v>
      </c>
      <c r="I516" s="148">
        <f t="shared" si="254"/>
        <v>14227.23</v>
      </c>
    </row>
    <row r="517" spans="1:16" x14ac:dyDescent="0.25">
      <c r="B517" s="24">
        <v>31111</v>
      </c>
      <c r="C517" s="26" t="s">
        <v>745</v>
      </c>
      <c r="E517" s="197">
        <v>6999.29</v>
      </c>
      <c r="F517" s="197">
        <v>14227.23</v>
      </c>
      <c r="G517" s="27">
        <v>18100</v>
      </c>
      <c r="H517" s="27">
        <v>16100</v>
      </c>
      <c r="I517" s="27">
        <v>14227.23</v>
      </c>
      <c r="L517" s="104"/>
      <c r="P517" s="102"/>
    </row>
    <row r="518" spans="1:16" x14ac:dyDescent="0.25">
      <c r="A518" s="36"/>
      <c r="B518" s="72">
        <v>312</v>
      </c>
      <c r="C518" s="12" t="s">
        <v>150</v>
      </c>
      <c r="D518" s="165">
        <f t="shared" ref="D518:I518" si="255">SUM(D519)</f>
        <v>0</v>
      </c>
      <c r="E518" s="200">
        <f t="shared" si="255"/>
        <v>200</v>
      </c>
      <c r="F518" s="200">
        <f t="shared" si="255"/>
        <v>796.35</v>
      </c>
      <c r="G518" s="165">
        <f t="shared" si="255"/>
        <v>700</v>
      </c>
      <c r="H518" s="165">
        <f t="shared" si="255"/>
        <v>700</v>
      </c>
      <c r="I518" s="165">
        <f t="shared" si="255"/>
        <v>796.35</v>
      </c>
    </row>
    <row r="519" spans="1:16" x14ac:dyDescent="0.25">
      <c r="A519" s="41"/>
      <c r="B519" s="84">
        <v>3121</v>
      </c>
      <c r="C519" s="38" t="s">
        <v>4</v>
      </c>
      <c r="D519" s="148">
        <f t="shared" ref="D519:I519" si="256">SUM(D520:D521)</f>
        <v>0</v>
      </c>
      <c r="E519" s="196">
        <f>SUM(E520:E521)</f>
        <v>200</v>
      </c>
      <c r="F519" s="196">
        <f t="shared" ref="F519" si="257">SUM(F520:F521)</f>
        <v>796.35</v>
      </c>
      <c r="G519" s="148">
        <f t="shared" si="256"/>
        <v>700</v>
      </c>
      <c r="H519" s="148">
        <f>SUM(H520:H521)</f>
        <v>700</v>
      </c>
      <c r="I519" s="148">
        <f t="shared" si="256"/>
        <v>796.35</v>
      </c>
    </row>
    <row r="520" spans="1:16" x14ac:dyDescent="0.25">
      <c r="B520" s="24">
        <v>31213</v>
      </c>
      <c r="C520" s="26" t="s">
        <v>748</v>
      </c>
      <c r="F520" s="197">
        <v>132.72999999999999</v>
      </c>
      <c r="G520" s="27">
        <v>200</v>
      </c>
      <c r="H520" s="27">
        <v>200</v>
      </c>
      <c r="I520" s="27">
        <v>132.72999999999999</v>
      </c>
      <c r="L520" s="104"/>
      <c r="P520" s="102"/>
    </row>
    <row r="521" spans="1:16" x14ac:dyDescent="0.25">
      <c r="B521" s="24">
        <v>31216</v>
      </c>
      <c r="C521" s="26" t="s">
        <v>750</v>
      </c>
      <c r="E521" s="197">
        <v>200</v>
      </c>
      <c r="F521" s="197">
        <v>663.62</v>
      </c>
      <c r="G521" s="27">
        <v>500</v>
      </c>
      <c r="H521" s="27">
        <v>500</v>
      </c>
      <c r="I521" s="27">
        <v>663.62</v>
      </c>
      <c r="L521" s="104"/>
      <c r="P521" s="102"/>
    </row>
    <row r="522" spans="1:16" x14ac:dyDescent="0.25">
      <c r="A522" s="36"/>
      <c r="B522" s="72">
        <v>313</v>
      </c>
      <c r="C522" s="12" t="s">
        <v>926</v>
      </c>
      <c r="D522" s="165">
        <f t="shared" ref="D522:I522" si="258">SUM(D523+D526)</f>
        <v>0</v>
      </c>
      <c r="E522" s="200">
        <f t="shared" ref="E522:F522" si="259">SUM(E523+E526)</f>
        <v>3193.3999999999996</v>
      </c>
      <c r="F522" s="200">
        <f t="shared" si="259"/>
        <v>6491.12</v>
      </c>
      <c r="G522" s="165">
        <f t="shared" si="258"/>
        <v>3000</v>
      </c>
      <c r="H522" s="165">
        <f t="shared" si="258"/>
        <v>7500</v>
      </c>
      <c r="I522" s="165">
        <f t="shared" si="258"/>
        <v>6491.12</v>
      </c>
    </row>
    <row r="523" spans="1:16" x14ac:dyDescent="0.25">
      <c r="A523" s="41"/>
      <c r="B523" s="84">
        <v>3131</v>
      </c>
      <c r="C523" s="85" t="s">
        <v>155</v>
      </c>
      <c r="D523" s="148">
        <f t="shared" ref="D523:I523" si="260">SUM(D524:D525)</f>
        <v>0</v>
      </c>
      <c r="E523" s="196">
        <f t="shared" ref="E523:F523" si="261">SUM(E524:E525)</f>
        <v>1749.8</v>
      </c>
      <c r="F523" s="196">
        <f t="shared" si="261"/>
        <v>3556.74</v>
      </c>
      <c r="G523" s="148">
        <f t="shared" si="260"/>
        <v>0</v>
      </c>
      <c r="H523" s="148">
        <f t="shared" si="260"/>
        <v>4000</v>
      </c>
      <c r="I523" s="148">
        <f t="shared" si="260"/>
        <v>3556.74</v>
      </c>
    </row>
    <row r="524" spans="1:16" x14ac:dyDescent="0.25">
      <c r="A524" s="43"/>
      <c r="B524" s="15">
        <v>3131111</v>
      </c>
      <c r="C524" s="16" t="s">
        <v>927</v>
      </c>
      <c r="D524" s="173"/>
      <c r="E524" s="201">
        <v>1312.36</v>
      </c>
      <c r="F524" s="201">
        <v>2667.58</v>
      </c>
      <c r="G524" s="173"/>
      <c r="H524" s="173">
        <v>3000</v>
      </c>
      <c r="I524" s="173">
        <v>2667.58</v>
      </c>
      <c r="L524" s="104"/>
      <c r="P524" s="102"/>
    </row>
    <row r="525" spans="1:16" x14ac:dyDescent="0.25">
      <c r="A525" s="43"/>
      <c r="B525" s="15">
        <v>313111</v>
      </c>
      <c r="C525" s="16" t="s">
        <v>928</v>
      </c>
      <c r="D525" s="173"/>
      <c r="E525" s="201">
        <v>437.44</v>
      </c>
      <c r="F525" s="201">
        <v>889.16</v>
      </c>
      <c r="G525" s="173"/>
      <c r="H525" s="173">
        <v>1000</v>
      </c>
      <c r="I525" s="173">
        <v>889.16</v>
      </c>
      <c r="L525" s="104"/>
      <c r="P525" s="102"/>
    </row>
    <row r="526" spans="1:16" x14ac:dyDescent="0.25">
      <c r="A526" s="41"/>
      <c r="B526" s="84">
        <v>3132</v>
      </c>
      <c r="C526" s="85" t="s">
        <v>160</v>
      </c>
      <c r="D526" s="148">
        <f t="shared" ref="D526:I526" si="262">SUM(D527:D527)</f>
        <v>0</v>
      </c>
      <c r="E526" s="196">
        <f t="shared" si="262"/>
        <v>1443.6</v>
      </c>
      <c r="F526" s="196">
        <f t="shared" si="262"/>
        <v>2934.38</v>
      </c>
      <c r="G526" s="148">
        <f t="shared" si="262"/>
        <v>3000</v>
      </c>
      <c r="H526" s="148">
        <f t="shared" si="262"/>
        <v>3500</v>
      </c>
      <c r="I526" s="148">
        <f t="shared" si="262"/>
        <v>2934.38</v>
      </c>
    </row>
    <row r="527" spans="1:16" x14ac:dyDescent="0.25">
      <c r="B527" s="24">
        <v>313211</v>
      </c>
      <c r="C527" s="26" t="s">
        <v>751</v>
      </c>
      <c r="E527" s="197">
        <v>1443.6</v>
      </c>
      <c r="F527" s="197">
        <v>2934.38</v>
      </c>
      <c r="G527" s="27">
        <v>3000</v>
      </c>
      <c r="H527" s="27">
        <v>3500</v>
      </c>
      <c r="I527" s="27">
        <v>2934.38</v>
      </c>
      <c r="L527" s="104"/>
      <c r="P527" s="102"/>
    </row>
    <row r="528" spans="1:16" x14ac:dyDescent="0.25">
      <c r="A528" s="33"/>
      <c r="B528" s="7">
        <v>32</v>
      </c>
      <c r="C528" s="10" t="s">
        <v>163</v>
      </c>
      <c r="D528" s="143">
        <f t="shared" ref="D528:I528" si="263">SUM(D529+D537+D544)</f>
        <v>0</v>
      </c>
      <c r="E528" s="195">
        <f>SUM(E529+E537+E544)</f>
        <v>1080.44</v>
      </c>
      <c r="F528" s="195">
        <f t="shared" ref="F528" si="264">SUM(F529+F537+F544)</f>
        <v>2771.02</v>
      </c>
      <c r="G528" s="143">
        <f t="shared" si="263"/>
        <v>13200</v>
      </c>
      <c r="H528" s="143">
        <f>SUM(H529+H537+H544)</f>
        <v>7900</v>
      </c>
      <c r="I528" s="143">
        <f t="shared" si="263"/>
        <v>2771.02</v>
      </c>
    </row>
    <row r="529" spans="1:16" x14ac:dyDescent="0.25">
      <c r="A529" s="36"/>
      <c r="B529" s="72">
        <v>321</v>
      </c>
      <c r="C529" s="12" t="s">
        <v>164</v>
      </c>
      <c r="D529" s="165">
        <f t="shared" ref="D529:I529" si="265">SUM(D530+D533+D535)</f>
        <v>0</v>
      </c>
      <c r="E529" s="200">
        <f t="shared" ref="E529:F529" si="266">SUM(E530+E533+E535)</f>
        <v>21.28</v>
      </c>
      <c r="F529" s="200">
        <f t="shared" si="266"/>
        <v>76.16</v>
      </c>
      <c r="G529" s="165">
        <f t="shared" si="265"/>
        <v>1000</v>
      </c>
      <c r="H529" s="165">
        <f t="shared" si="265"/>
        <v>200</v>
      </c>
      <c r="I529" s="165">
        <f t="shared" si="265"/>
        <v>76.16</v>
      </c>
    </row>
    <row r="530" spans="1:16" x14ac:dyDescent="0.25">
      <c r="A530" s="41"/>
      <c r="B530" s="84">
        <v>3211</v>
      </c>
      <c r="C530" s="38" t="s">
        <v>165</v>
      </c>
      <c r="D530" s="148">
        <f t="shared" ref="D530:I530" si="267">SUM(D531:D532)</f>
        <v>0</v>
      </c>
      <c r="E530" s="196">
        <f>SUM(E531:E532)</f>
        <v>0</v>
      </c>
      <c r="F530" s="196">
        <f t="shared" ref="F530" si="268">SUM(F531:F532)</f>
        <v>0</v>
      </c>
      <c r="G530" s="148">
        <f t="shared" si="267"/>
        <v>0</v>
      </c>
      <c r="H530" s="148">
        <f>SUM(H531:H532)</f>
        <v>0</v>
      </c>
      <c r="I530" s="148">
        <f t="shared" si="267"/>
        <v>0</v>
      </c>
    </row>
    <row r="531" spans="1:16" x14ac:dyDescent="0.25">
      <c r="B531" s="24">
        <v>32111</v>
      </c>
      <c r="C531" s="26" t="s">
        <v>753</v>
      </c>
      <c r="L531" s="104"/>
      <c r="P531" s="102"/>
    </row>
    <row r="532" spans="1:16" x14ac:dyDescent="0.25">
      <c r="B532" s="24">
        <v>32115</v>
      </c>
      <c r="C532" s="26" t="s">
        <v>169</v>
      </c>
      <c r="L532" s="104"/>
      <c r="P532" s="102"/>
    </row>
    <row r="533" spans="1:16" x14ac:dyDescent="0.25">
      <c r="A533" s="41"/>
      <c r="B533" s="84">
        <v>3213</v>
      </c>
      <c r="C533" s="38" t="s">
        <v>173</v>
      </c>
      <c r="D533" s="148">
        <f t="shared" ref="D533:I533" si="269">SUM(D534)</f>
        <v>0</v>
      </c>
      <c r="E533" s="196">
        <f t="shared" si="269"/>
        <v>0</v>
      </c>
      <c r="F533" s="196">
        <f t="shared" si="269"/>
        <v>0</v>
      </c>
      <c r="G533" s="148">
        <f t="shared" si="269"/>
        <v>500</v>
      </c>
      <c r="H533" s="148">
        <f t="shared" si="269"/>
        <v>0</v>
      </c>
      <c r="I533" s="148">
        <f t="shared" si="269"/>
        <v>0</v>
      </c>
    </row>
    <row r="534" spans="1:16" x14ac:dyDescent="0.25">
      <c r="B534" s="24">
        <v>32131</v>
      </c>
      <c r="C534" s="26" t="s">
        <v>755</v>
      </c>
      <c r="G534" s="27">
        <v>500</v>
      </c>
      <c r="L534" s="104"/>
      <c r="P534" s="102"/>
    </row>
    <row r="535" spans="1:16" x14ac:dyDescent="0.25">
      <c r="B535" s="37">
        <v>3214</v>
      </c>
      <c r="C535" s="38" t="s">
        <v>175</v>
      </c>
      <c r="D535" s="148">
        <f t="shared" ref="D535:I535" si="270">SUM(D536)</f>
        <v>0</v>
      </c>
      <c r="E535" s="196">
        <f t="shared" si="270"/>
        <v>21.28</v>
      </c>
      <c r="F535" s="196">
        <f t="shared" si="270"/>
        <v>76.16</v>
      </c>
      <c r="G535" s="148">
        <f t="shared" si="270"/>
        <v>500</v>
      </c>
      <c r="H535" s="148">
        <f t="shared" si="270"/>
        <v>200</v>
      </c>
      <c r="I535" s="148">
        <f t="shared" si="270"/>
        <v>76.16</v>
      </c>
    </row>
    <row r="536" spans="1:16" x14ac:dyDescent="0.25">
      <c r="B536" s="15">
        <v>321411</v>
      </c>
      <c r="C536" s="16" t="s">
        <v>856</v>
      </c>
      <c r="E536" s="197">
        <v>21.28</v>
      </c>
      <c r="F536" s="197">
        <v>76.16</v>
      </c>
      <c r="G536" s="27">
        <v>500</v>
      </c>
      <c r="H536" s="27">
        <v>200</v>
      </c>
      <c r="I536" s="27">
        <v>76.16</v>
      </c>
      <c r="L536" s="104"/>
      <c r="P536" s="102"/>
    </row>
    <row r="537" spans="1:16" x14ac:dyDescent="0.25">
      <c r="A537" s="36"/>
      <c r="B537" s="72">
        <v>322</v>
      </c>
      <c r="C537" s="12" t="s">
        <v>178</v>
      </c>
      <c r="D537" s="165">
        <f t="shared" ref="D537:I537" si="271">SUM(D538+D542)</f>
        <v>0</v>
      </c>
      <c r="E537" s="200">
        <f t="shared" ref="E537:F537" si="272">SUM(E538+E542)</f>
        <v>127.23</v>
      </c>
      <c r="F537" s="200">
        <f t="shared" si="272"/>
        <v>324.88</v>
      </c>
      <c r="G537" s="165">
        <f t="shared" si="271"/>
        <v>2500</v>
      </c>
      <c r="H537" s="165">
        <f t="shared" si="271"/>
        <v>1000</v>
      </c>
      <c r="I537" s="165">
        <f t="shared" si="271"/>
        <v>324.88</v>
      </c>
    </row>
    <row r="538" spans="1:16" x14ac:dyDescent="0.25">
      <c r="A538" s="41"/>
      <c r="B538" s="84">
        <v>3221</v>
      </c>
      <c r="C538" s="38" t="s">
        <v>179</v>
      </c>
      <c r="D538" s="148">
        <f t="shared" ref="D538:I538" si="273">SUM(D539:D541)</f>
        <v>0</v>
      </c>
      <c r="E538" s="196">
        <f>SUM(E539:E541)</f>
        <v>127.23</v>
      </c>
      <c r="F538" s="196">
        <f t="shared" ref="F538" si="274">SUM(F539:F541)</f>
        <v>324.88</v>
      </c>
      <c r="G538" s="148">
        <f t="shared" si="273"/>
        <v>2000</v>
      </c>
      <c r="H538" s="148">
        <f>SUM(H539:H541)</f>
        <v>900</v>
      </c>
      <c r="I538" s="148">
        <f t="shared" si="273"/>
        <v>324.88</v>
      </c>
    </row>
    <row r="539" spans="1:16" x14ac:dyDescent="0.25">
      <c r="B539" s="24">
        <v>32211</v>
      </c>
      <c r="C539" s="26" t="s">
        <v>756</v>
      </c>
      <c r="E539" s="197">
        <v>0.45</v>
      </c>
      <c r="F539" s="197">
        <v>2.7</v>
      </c>
      <c r="G539" s="27">
        <v>1000</v>
      </c>
      <c r="H539" s="27">
        <v>500</v>
      </c>
      <c r="I539" s="27">
        <v>2.7</v>
      </c>
      <c r="L539" s="104"/>
      <c r="P539" s="102"/>
    </row>
    <row r="540" spans="1:16" x14ac:dyDescent="0.25">
      <c r="B540" s="24">
        <v>32212</v>
      </c>
      <c r="C540" s="26" t="s">
        <v>757</v>
      </c>
      <c r="E540" s="197">
        <v>35.44</v>
      </c>
      <c r="F540" s="197">
        <v>35.44</v>
      </c>
      <c r="G540" s="27">
        <v>500</v>
      </c>
      <c r="H540" s="27">
        <v>200</v>
      </c>
      <c r="I540" s="27">
        <v>35.44</v>
      </c>
      <c r="L540" s="104"/>
      <c r="P540" s="102"/>
    </row>
    <row r="541" spans="1:16" x14ac:dyDescent="0.25">
      <c r="B541" s="24">
        <v>32219</v>
      </c>
      <c r="C541" s="26" t="s">
        <v>841</v>
      </c>
      <c r="E541" s="197">
        <v>91.34</v>
      </c>
      <c r="F541" s="197">
        <v>286.74</v>
      </c>
      <c r="G541" s="27">
        <v>500</v>
      </c>
      <c r="H541" s="27">
        <v>200</v>
      </c>
      <c r="I541" s="27">
        <v>286.74</v>
      </c>
      <c r="L541" s="104"/>
      <c r="P541" s="102"/>
    </row>
    <row r="542" spans="1:16" x14ac:dyDescent="0.25">
      <c r="A542" s="41"/>
      <c r="B542" s="84">
        <v>3225</v>
      </c>
      <c r="C542" s="38" t="s">
        <v>196</v>
      </c>
      <c r="D542" s="148">
        <f t="shared" ref="D542:I542" si="275">SUM(D543)</f>
        <v>0</v>
      </c>
      <c r="E542" s="196">
        <f t="shared" si="275"/>
        <v>0</v>
      </c>
      <c r="F542" s="196">
        <f t="shared" si="275"/>
        <v>0</v>
      </c>
      <c r="G542" s="148">
        <f t="shared" si="275"/>
        <v>500</v>
      </c>
      <c r="H542" s="148">
        <f t="shared" si="275"/>
        <v>100</v>
      </c>
      <c r="I542" s="148">
        <f t="shared" si="275"/>
        <v>0</v>
      </c>
      <c r="K542" s="49"/>
    </row>
    <row r="543" spans="1:16" x14ac:dyDescent="0.25">
      <c r="B543" s="24">
        <v>32251</v>
      </c>
      <c r="C543" s="26" t="s">
        <v>197</v>
      </c>
      <c r="G543" s="27">
        <v>500</v>
      </c>
      <c r="H543" s="27">
        <v>100</v>
      </c>
      <c r="L543" s="104"/>
      <c r="P543" s="102"/>
    </row>
    <row r="544" spans="1:16" x14ac:dyDescent="0.25">
      <c r="A544" s="36"/>
      <c r="B544" s="72">
        <v>323</v>
      </c>
      <c r="C544" s="12" t="s">
        <v>201</v>
      </c>
      <c r="D544" s="165">
        <f t="shared" ref="D544:I544" si="276">SUM(D545+D548+D551+D554+D556+D558)</f>
        <v>0</v>
      </c>
      <c r="E544" s="200">
        <f t="shared" ref="E544:F544" si="277">SUM(E545+E548+E551+E554+E556+E558)</f>
        <v>931.93</v>
      </c>
      <c r="F544" s="200">
        <f t="shared" si="277"/>
        <v>2369.98</v>
      </c>
      <c r="G544" s="165">
        <f t="shared" si="276"/>
        <v>9700</v>
      </c>
      <c r="H544" s="165">
        <f t="shared" si="276"/>
        <v>6700</v>
      </c>
      <c r="I544" s="165">
        <f t="shared" si="276"/>
        <v>2369.98</v>
      </c>
    </row>
    <row r="545" spans="1:16" x14ac:dyDescent="0.25">
      <c r="A545" s="41"/>
      <c r="B545" s="84">
        <v>3231</v>
      </c>
      <c r="C545" s="38" t="s">
        <v>202</v>
      </c>
      <c r="D545" s="196">
        <f t="shared" ref="D545:I545" si="278">SUM(D546:D547)</f>
        <v>0</v>
      </c>
      <c r="E545" s="196">
        <f t="shared" ref="E545:F545" si="279">SUM(E546:E547)</f>
        <v>10.39</v>
      </c>
      <c r="F545" s="196">
        <f t="shared" si="279"/>
        <v>27.07</v>
      </c>
      <c r="G545" s="148">
        <f t="shared" si="278"/>
        <v>200</v>
      </c>
      <c r="H545" s="148">
        <f t="shared" si="278"/>
        <v>100</v>
      </c>
      <c r="I545" s="148">
        <f t="shared" si="278"/>
        <v>27.07</v>
      </c>
    </row>
    <row r="546" spans="1:16" x14ac:dyDescent="0.25">
      <c r="B546" s="24">
        <v>32311</v>
      </c>
      <c r="C546" s="26" t="s">
        <v>767</v>
      </c>
      <c r="L546" s="104"/>
      <c r="P546" s="102"/>
    </row>
    <row r="547" spans="1:16" x14ac:dyDescent="0.25">
      <c r="B547" s="24">
        <v>32313</v>
      </c>
      <c r="C547" s="26" t="s">
        <v>978</v>
      </c>
      <c r="E547" s="197">
        <v>10.39</v>
      </c>
      <c r="F547" s="197">
        <v>27.07</v>
      </c>
      <c r="G547" s="27">
        <v>200</v>
      </c>
      <c r="H547" s="27">
        <v>100</v>
      </c>
      <c r="I547" s="27">
        <v>27.07</v>
      </c>
      <c r="L547" s="104"/>
      <c r="P547" s="102"/>
    </row>
    <row r="548" spans="1:16" x14ac:dyDescent="0.25">
      <c r="A548" s="41"/>
      <c r="B548" s="84">
        <v>3233</v>
      </c>
      <c r="C548" s="38" t="s">
        <v>220</v>
      </c>
      <c r="D548" s="148">
        <f t="shared" ref="D548:I548" si="280">SUM(D549:D550)</f>
        <v>0</v>
      </c>
      <c r="E548" s="196">
        <f>SUM(E549:E550)</f>
        <v>0</v>
      </c>
      <c r="F548" s="196">
        <f t="shared" ref="F548" si="281">SUM(F549:F550)</f>
        <v>0</v>
      </c>
      <c r="G548" s="148">
        <f t="shared" si="280"/>
        <v>1000</v>
      </c>
      <c r="H548" s="148">
        <f>SUM(H549:H550)</f>
        <v>200</v>
      </c>
      <c r="I548" s="148">
        <f t="shared" si="280"/>
        <v>0</v>
      </c>
    </row>
    <row r="549" spans="1:16" x14ac:dyDescent="0.25">
      <c r="A549" s="43"/>
      <c r="B549" s="86">
        <v>32331</v>
      </c>
      <c r="C549" s="87" t="s">
        <v>221</v>
      </c>
      <c r="D549" s="173"/>
      <c r="E549" s="201"/>
      <c r="F549" s="201"/>
      <c r="G549" s="173"/>
      <c r="H549" s="173"/>
      <c r="I549" s="173"/>
      <c r="L549" s="104"/>
      <c r="P549" s="102"/>
    </row>
    <row r="550" spans="1:16" x14ac:dyDescent="0.25">
      <c r="B550" s="24">
        <v>32339</v>
      </c>
      <c r="C550" s="26" t="s">
        <v>770</v>
      </c>
      <c r="G550" s="27">
        <v>1000</v>
      </c>
      <c r="H550" s="27">
        <v>200</v>
      </c>
      <c r="L550" s="104"/>
      <c r="P550" s="102"/>
    </row>
    <row r="551" spans="1:16" x14ac:dyDescent="0.25">
      <c r="A551" s="41"/>
      <c r="B551" s="84">
        <v>3237</v>
      </c>
      <c r="C551" s="38" t="s">
        <v>242</v>
      </c>
      <c r="D551" s="148">
        <f t="shared" ref="D551:I551" si="282">SUM(D552:D553)</f>
        <v>0</v>
      </c>
      <c r="E551" s="196">
        <f>SUM(E552:E553)</f>
        <v>0</v>
      </c>
      <c r="F551" s="196">
        <f t="shared" ref="F551" si="283">SUM(F552:F553)</f>
        <v>0</v>
      </c>
      <c r="G551" s="148">
        <f t="shared" si="282"/>
        <v>5500</v>
      </c>
      <c r="H551" s="148">
        <f>SUM(H552:H553)</f>
        <v>4500</v>
      </c>
      <c r="I551" s="148">
        <f t="shared" si="282"/>
        <v>0</v>
      </c>
    </row>
    <row r="552" spans="1:16" x14ac:dyDescent="0.25">
      <c r="B552" s="24">
        <v>32372</v>
      </c>
      <c r="C552" s="26" t="s">
        <v>244</v>
      </c>
      <c r="G552" s="27">
        <v>1000</v>
      </c>
      <c r="H552" s="27">
        <v>500</v>
      </c>
      <c r="L552" s="104"/>
      <c r="P552" s="102"/>
    </row>
    <row r="553" spans="1:16" x14ac:dyDescent="0.25">
      <c r="B553" s="24">
        <v>32378</v>
      </c>
      <c r="C553" s="26" t="s">
        <v>775</v>
      </c>
      <c r="G553" s="27">
        <v>4500</v>
      </c>
      <c r="H553" s="27">
        <v>4000</v>
      </c>
      <c r="L553" s="104"/>
      <c r="P553" s="102"/>
    </row>
    <row r="554" spans="1:16" x14ac:dyDescent="0.25">
      <c r="A554" s="41"/>
      <c r="B554" s="84">
        <v>3238</v>
      </c>
      <c r="C554" s="38" t="s">
        <v>249</v>
      </c>
      <c r="D554" s="148">
        <f t="shared" ref="D554:I554" si="284">SUM(D555)</f>
        <v>0</v>
      </c>
      <c r="E554" s="196">
        <f t="shared" si="284"/>
        <v>774.16</v>
      </c>
      <c r="F554" s="196">
        <f t="shared" si="284"/>
        <v>1798.3</v>
      </c>
      <c r="G554" s="148">
        <f t="shared" si="284"/>
        <v>1500</v>
      </c>
      <c r="H554" s="148">
        <f t="shared" si="284"/>
        <v>1300</v>
      </c>
      <c r="I554" s="148">
        <f t="shared" si="284"/>
        <v>1798.3</v>
      </c>
    </row>
    <row r="555" spans="1:16" x14ac:dyDescent="0.25">
      <c r="B555" s="24">
        <v>32389</v>
      </c>
      <c r="C555" s="26" t="s">
        <v>251</v>
      </c>
      <c r="E555" s="197">
        <v>774.16</v>
      </c>
      <c r="F555" s="197">
        <v>1798.3</v>
      </c>
      <c r="G555" s="27">
        <v>1500</v>
      </c>
      <c r="H555" s="27">
        <v>1300</v>
      </c>
      <c r="I555" s="27">
        <v>1798.3</v>
      </c>
      <c r="L555" s="104"/>
      <c r="P555" s="102"/>
    </row>
    <row r="556" spans="1:16" x14ac:dyDescent="0.25">
      <c r="A556" s="41"/>
      <c r="B556" s="84">
        <v>3239</v>
      </c>
      <c r="C556" s="38" t="s">
        <v>252</v>
      </c>
      <c r="D556" s="148">
        <f t="shared" ref="D556:I556" si="285">SUM(D557)</f>
        <v>0</v>
      </c>
      <c r="E556" s="196">
        <f t="shared" si="285"/>
        <v>0</v>
      </c>
      <c r="F556" s="196">
        <f t="shared" si="285"/>
        <v>488.44</v>
      </c>
      <c r="G556" s="148">
        <f t="shared" si="285"/>
        <v>500</v>
      </c>
      <c r="H556" s="148">
        <f t="shared" si="285"/>
        <v>300</v>
      </c>
      <c r="I556" s="148">
        <f t="shared" si="285"/>
        <v>488.44</v>
      </c>
    </row>
    <row r="557" spans="1:16" x14ac:dyDescent="0.25">
      <c r="B557" s="24">
        <v>32399</v>
      </c>
      <c r="C557" s="26" t="s">
        <v>795</v>
      </c>
      <c r="F557" s="197">
        <v>488.44</v>
      </c>
      <c r="G557" s="27">
        <v>500</v>
      </c>
      <c r="H557" s="27">
        <v>300</v>
      </c>
      <c r="I557" s="27">
        <v>488.44</v>
      </c>
      <c r="L557" s="104"/>
      <c r="P557" s="102"/>
    </row>
    <row r="558" spans="1:16" x14ac:dyDescent="0.25">
      <c r="B558" s="84">
        <v>3293</v>
      </c>
      <c r="C558" s="85" t="s">
        <v>274</v>
      </c>
      <c r="D558" s="148">
        <f t="shared" ref="D558:I558" si="286">SUM(D559)</f>
        <v>0</v>
      </c>
      <c r="E558" s="196">
        <f t="shared" si="286"/>
        <v>147.38</v>
      </c>
      <c r="F558" s="196">
        <f t="shared" si="286"/>
        <v>56.17</v>
      </c>
      <c r="G558" s="148">
        <f t="shared" si="286"/>
        <v>1000</v>
      </c>
      <c r="H558" s="148">
        <f t="shared" si="286"/>
        <v>300</v>
      </c>
      <c r="I558" s="148">
        <f t="shared" si="286"/>
        <v>56.17</v>
      </c>
    </row>
    <row r="559" spans="1:16" x14ac:dyDescent="0.25">
      <c r="B559" s="24">
        <v>32931</v>
      </c>
      <c r="C559" s="26" t="s">
        <v>62</v>
      </c>
      <c r="E559" s="197">
        <v>147.38</v>
      </c>
      <c r="F559" s="197">
        <v>56.17</v>
      </c>
      <c r="G559" s="27">
        <v>1000</v>
      </c>
      <c r="H559" s="27">
        <v>300</v>
      </c>
      <c r="I559" s="27">
        <v>56.17</v>
      </c>
      <c r="L559" s="104"/>
      <c r="P559" s="102"/>
    </row>
    <row r="560" spans="1:16" x14ac:dyDescent="0.25">
      <c r="A560" s="33"/>
      <c r="B560" s="7">
        <v>34</v>
      </c>
      <c r="C560" s="10" t="s">
        <v>285</v>
      </c>
      <c r="D560" s="143">
        <f t="shared" ref="D560:I562" si="287">SUM(D561)</f>
        <v>0</v>
      </c>
      <c r="E560" s="195">
        <f t="shared" si="287"/>
        <v>99.83</v>
      </c>
      <c r="F560" s="195">
        <f t="shared" si="287"/>
        <v>263.02999999999997</v>
      </c>
      <c r="G560" s="143">
        <f t="shared" si="287"/>
        <v>1700</v>
      </c>
      <c r="H560" s="143">
        <f t="shared" si="287"/>
        <v>300</v>
      </c>
      <c r="I560" s="143">
        <f t="shared" si="287"/>
        <v>263.02999999999997</v>
      </c>
    </row>
    <row r="561" spans="1:16" x14ac:dyDescent="0.25">
      <c r="A561" s="36"/>
      <c r="B561" s="72">
        <v>343</v>
      </c>
      <c r="C561" s="12" t="s">
        <v>286</v>
      </c>
      <c r="D561" s="165">
        <f t="shared" si="287"/>
        <v>0</v>
      </c>
      <c r="E561" s="200">
        <f t="shared" si="287"/>
        <v>99.83</v>
      </c>
      <c r="F561" s="200">
        <f t="shared" si="287"/>
        <v>263.02999999999997</v>
      </c>
      <c r="G561" s="165">
        <f t="shared" si="287"/>
        <v>1700</v>
      </c>
      <c r="H561" s="165">
        <f t="shared" si="287"/>
        <v>300</v>
      </c>
      <c r="I561" s="165">
        <f t="shared" si="287"/>
        <v>263.02999999999997</v>
      </c>
    </row>
    <row r="562" spans="1:16" x14ac:dyDescent="0.25">
      <c r="A562" s="41"/>
      <c r="B562" s="84">
        <v>3431</v>
      </c>
      <c r="C562" s="38" t="s">
        <v>286</v>
      </c>
      <c r="D562" s="148">
        <f t="shared" si="287"/>
        <v>0</v>
      </c>
      <c r="E562" s="196">
        <f t="shared" si="287"/>
        <v>99.83</v>
      </c>
      <c r="F562" s="196">
        <f t="shared" si="287"/>
        <v>263.02999999999997</v>
      </c>
      <c r="G562" s="148">
        <f t="shared" si="287"/>
        <v>1700</v>
      </c>
      <c r="H562" s="148">
        <f t="shared" si="287"/>
        <v>300</v>
      </c>
      <c r="I562" s="148">
        <f t="shared" si="287"/>
        <v>263.02999999999997</v>
      </c>
    </row>
    <row r="563" spans="1:16" x14ac:dyDescent="0.25">
      <c r="B563" s="24">
        <v>34312</v>
      </c>
      <c r="C563" s="26" t="s">
        <v>289</v>
      </c>
      <c r="E563" s="197">
        <v>99.83</v>
      </c>
      <c r="F563" s="197">
        <v>263.02999999999997</v>
      </c>
      <c r="G563" s="27">
        <v>1700</v>
      </c>
      <c r="H563" s="27">
        <v>300</v>
      </c>
      <c r="I563" s="27">
        <v>263.02999999999997</v>
      </c>
      <c r="L563" s="104"/>
      <c r="P563" s="102"/>
    </row>
    <row r="564" spans="1:16" x14ac:dyDescent="0.25">
      <c r="A564" s="33"/>
      <c r="B564" s="7">
        <v>4</v>
      </c>
      <c r="C564" s="10" t="s">
        <v>144</v>
      </c>
      <c r="D564" s="68">
        <f t="shared" ref="D564:I564" si="288">SUM(D565)</f>
        <v>0</v>
      </c>
      <c r="E564" s="199">
        <f t="shared" si="288"/>
        <v>8453.43</v>
      </c>
      <c r="F564" s="199">
        <f t="shared" si="288"/>
        <v>12621.119999999999</v>
      </c>
      <c r="G564" s="68">
        <f t="shared" si="288"/>
        <v>4800</v>
      </c>
      <c r="H564" s="68">
        <f t="shared" si="288"/>
        <v>12700</v>
      </c>
      <c r="I564" s="68">
        <f t="shared" si="288"/>
        <v>12621.119999999999</v>
      </c>
    </row>
    <row r="565" spans="1:16" x14ac:dyDescent="0.25">
      <c r="A565" s="33"/>
      <c r="B565" s="7">
        <v>42</v>
      </c>
      <c r="C565" s="10" t="s">
        <v>356</v>
      </c>
      <c r="D565" s="68">
        <f t="shared" ref="D565:I565" si="289">SUM(D566+D568)</f>
        <v>0</v>
      </c>
      <c r="E565" s="199">
        <f t="shared" ref="E565:F565" si="290">SUM(E566+E568)</f>
        <v>8453.43</v>
      </c>
      <c r="F565" s="199">
        <f t="shared" si="290"/>
        <v>12621.119999999999</v>
      </c>
      <c r="G565" s="68">
        <f t="shared" si="289"/>
        <v>4800</v>
      </c>
      <c r="H565" s="68">
        <f t="shared" si="289"/>
        <v>12700</v>
      </c>
      <c r="I565" s="68">
        <f t="shared" si="289"/>
        <v>12621.119999999999</v>
      </c>
    </row>
    <row r="566" spans="1:16" x14ac:dyDescent="0.25">
      <c r="A566" s="36"/>
      <c r="B566" s="72">
        <v>422</v>
      </c>
      <c r="C566" s="12" t="s">
        <v>356</v>
      </c>
      <c r="D566" s="166">
        <f t="shared" ref="D566:I566" si="291">SUM(D567)</f>
        <v>0</v>
      </c>
      <c r="E566" s="208">
        <f t="shared" si="291"/>
        <v>3716.14</v>
      </c>
      <c r="F566" s="208">
        <f t="shared" si="291"/>
        <v>3716.14</v>
      </c>
      <c r="G566" s="166">
        <f t="shared" si="291"/>
        <v>1900</v>
      </c>
      <c r="H566" s="166">
        <f t="shared" si="291"/>
        <v>3800</v>
      </c>
      <c r="I566" s="166">
        <f t="shared" si="291"/>
        <v>3716.14</v>
      </c>
    </row>
    <row r="567" spans="1:16" x14ac:dyDescent="0.25">
      <c r="B567" s="24">
        <v>42273</v>
      </c>
      <c r="C567" s="26" t="s">
        <v>782</v>
      </c>
      <c r="E567" s="197">
        <v>3716.14</v>
      </c>
      <c r="F567" s="197">
        <v>3716.14</v>
      </c>
      <c r="G567" s="27">
        <v>1900</v>
      </c>
      <c r="H567" s="27">
        <v>3800</v>
      </c>
      <c r="I567" s="27">
        <v>3716.14</v>
      </c>
      <c r="L567" s="104"/>
      <c r="P567" s="102"/>
    </row>
    <row r="568" spans="1:16" ht="31.5" x14ac:dyDescent="0.25">
      <c r="A568" s="36"/>
      <c r="B568" s="11">
        <v>424</v>
      </c>
      <c r="C568" s="12" t="s">
        <v>376</v>
      </c>
      <c r="D568" s="165">
        <f t="shared" ref="D568:I568" si="292">SUM(D569)</f>
        <v>0</v>
      </c>
      <c r="E568" s="200">
        <f t="shared" si="292"/>
        <v>4737.29</v>
      </c>
      <c r="F568" s="200">
        <f t="shared" si="292"/>
        <v>8904.98</v>
      </c>
      <c r="G568" s="165">
        <f t="shared" si="292"/>
        <v>2900</v>
      </c>
      <c r="H568" s="165">
        <f t="shared" si="292"/>
        <v>8900</v>
      </c>
      <c r="I568" s="165">
        <f t="shared" si="292"/>
        <v>8904.98</v>
      </c>
    </row>
    <row r="569" spans="1:16" x14ac:dyDescent="0.25">
      <c r="B569" s="24">
        <v>42411</v>
      </c>
      <c r="C569" s="26" t="s">
        <v>377</v>
      </c>
      <c r="E569" s="197">
        <v>4737.29</v>
      </c>
      <c r="F569" s="197">
        <v>8904.98</v>
      </c>
      <c r="G569" s="27">
        <v>2900</v>
      </c>
      <c r="H569" s="27">
        <v>8900</v>
      </c>
      <c r="I569" s="27">
        <v>8904.98</v>
      </c>
      <c r="L569" s="104"/>
      <c r="P569" s="102"/>
    </row>
  </sheetData>
  <mergeCells count="2">
    <mergeCell ref="L1:P1"/>
    <mergeCell ref="Q1:U1"/>
  </mergeCells>
  <printOptions headings="1"/>
  <pageMargins left="0.19685039370078741" right="0.19685039370078741" top="0.59055118110236227" bottom="0.59055118110236227" header="0.19685039370078741" footer="0.19685039370078741"/>
  <pageSetup paperSize="9" scale="65" orientation="landscape" r:id="rId1"/>
  <headerFooter alignWithMargins="0">
    <oddHeader>&amp;C&amp;16 PRORAČUN
OPĆINE NUŠTAR ZA 2019. GODINU - RASHODI SVE STAVKE</oddHeader>
    <oddFooter>&amp;LNuštar, . kolovoz 2014.&amp;R&amp;P</oddFoot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>
    <pageSetUpPr fitToPage="1"/>
  </sheetPr>
  <dimension ref="A1:N160"/>
  <sheetViews>
    <sheetView view="pageBreakPreview" topLeftCell="B1" zoomScaleNormal="100" zoomScaleSheetLayoutView="100" workbookViewId="0">
      <selection activeCell="K14" sqref="K14"/>
    </sheetView>
  </sheetViews>
  <sheetFormatPr defaultRowHeight="18.75" x14ac:dyDescent="0.3"/>
  <cols>
    <col min="1" max="3" width="9.140625" style="57"/>
    <col min="4" max="4" width="7.7109375" style="57" customWidth="1"/>
    <col min="5" max="5" width="75.7109375" style="57" customWidth="1"/>
    <col min="6" max="8" width="20.7109375" style="450" customWidth="1"/>
    <col min="9" max="10" width="20.7109375" style="447" customWidth="1"/>
    <col min="11" max="11" width="15.7109375" style="58" customWidth="1"/>
    <col min="12" max="13" width="15.7109375" style="57" customWidth="1"/>
    <col min="14" max="16384" width="9.140625" style="57"/>
  </cols>
  <sheetData>
    <row r="1" spans="1:13" s="62" customFormat="1" ht="20.100000000000001" customHeight="1" x14ac:dyDescent="0.3">
      <c r="A1" s="457" t="s">
        <v>1010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</row>
    <row r="2" spans="1:13" s="62" customFormat="1" ht="20.100000000000001" customHeight="1" x14ac:dyDescent="0.3">
      <c r="D2" s="288"/>
      <c r="E2" s="288"/>
      <c r="F2" s="288"/>
      <c r="G2" s="288"/>
      <c r="H2" s="288"/>
      <c r="I2" s="288"/>
      <c r="J2" s="288"/>
      <c r="K2" s="288"/>
      <c r="L2" s="288"/>
      <c r="M2" s="288"/>
    </row>
    <row r="3" spans="1:13" s="275" customFormat="1" ht="20.100000000000001" customHeight="1" x14ac:dyDescent="0.3">
      <c r="A3" s="460" t="s">
        <v>1065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</row>
    <row r="4" spans="1:13" s="275" customFormat="1" ht="20.100000000000001" customHeight="1" x14ac:dyDescent="0.3">
      <c r="D4" s="289"/>
      <c r="E4" s="289"/>
      <c r="F4" s="289"/>
      <c r="G4" s="289"/>
      <c r="H4" s="289"/>
      <c r="I4" s="289"/>
      <c r="J4" s="289"/>
      <c r="K4" s="289"/>
      <c r="L4" s="289"/>
      <c r="M4" s="289"/>
    </row>
    <row r="5" spans="1:13" s="275" customFormat="1" ht="20.100000000000001" customHeight="1" x14ac:dyDescent="0.3">
      <c r="A5" s="460" t="s">
        <v>1066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</row>
    <row r="6" spans="1:13" s="275" customFormat="1" ht="20.100000000000001" customHeight="1" x14ac:dyDescent="0.3">
      <c r="A6" s="292"/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</row>
    <row r="7" spans="1:13" ht="20.100000000000001" customHeight="1" x14ac:dyDescent="0.3">
      <c r="B7" s="445" t="s">
        <v>1077</v>
      </c>
      <c r="D7" s="293"/>
      <c r="E7" s="293"/>
      <c r="F7" s="451"/>
      <c r="G7" s="451"/>
      <c r="H7" s="451"/>
      <c r="I7" s="452"/>
      <c r="J7" s="452"/>
      <c r="K7" s="294"/>
      <c r="L7" s="293"/>
      <c r="M7" s="293"/>
    </row>
    <row r="8" spans="1:13" ht="60.75" x14ac:dyDescent="0.3">
      <c r="A8" s="458" t="s">
        <v>1039</v>
      </c>
      <c r="B8" s="458"/>
      <c r="C8" s="458"/>
      <c r="D8" s="458"/>
      <c r="E8" s="458"/>
      <c r="F8" s="276" t="s">
        <v>1014</v>
      </c>
      <c r="G8" s="276" t="s">
        <v>1015</v>
      </c>
      <c r="H8" s="276" t="s">
        <v>1013</v>
      </c>
      <c r="I8" s="276" t="s">
        <v>979</v>
      </c>
      <c r="J8" s="276" t="s">
        <v>1112</v>
      </c>
      <c r="K8" s="277" t="s">
        <v>1011</v>
      </c>
      <c r="L8" s="277" t="s">
        <v>1009</v>
      </c>
      <c r="M8" s="277" t="s">
        <v>1012</v>
      </c>
    </row>
    <row r="9" spans="1:13" ht="20.25" x14ac:dyDescent="0.3">
      <c r="A9" s="459">
        <v>1</v>
      </c>
      <c r="B9" s="459"/>
      <c r="C9" s="459"/>
      <c r="D9" s="459"/>
      <c r="E9" s="459"/>
      <c r="F9" s="295">
        <v>2</v>
      </c>
      <c r="G9" s="296">
        <v>3</v>
      </c>
      <c r="H9" s="295">
        <v>4</v>
      </c>
      <c r="I9" s="295">
        <v>5</v>
      </c>
      <c r="J9" s="295">
        <v>6</v>
      </c>
      <c r="K9" s="295"/>
      <c r="L9" s="295"/>
      <c r="M9" s="295"/>
    </row>
    <row r="10" spans="1:13" s="311" customFormat="1" ht="20.25" x14ac:dyDescent="0.3">
      <c r="A10" s="280"/>
      <c r="B10" s="280"/>
      <c r="C10" s="280"/>
      <c r="D10" s="280"/>
      <c r="E10" s="280" t="s">
        <v>1042</v>
      </c>
      <c r="F10" s="281">
        <f>SUM(F11+F62)</f>
        <v>1391152.0199999998</v>
      </c>
      <c r="G10" s="281">
        <f>SUM(G11+G62)</f>
        <v>2908845.1999999997</v>
      </c>
      <c r="H10" s="281">
        <f>SUM(H11+H62)</f>
        <v>2195000</v>
      </c>
      <c r="I10" s="281">
        <f>SUM(I11+I62)</f>
        <v>1674300</v>
      </c>
      <c r="J10" s="281">
        <f>SUM(J11+J62)</f>
        <v>2908845.1999999997</v>
      </c>
      <c r="K10" s="282">
        <f>IFERROR(SUM(J10/F10),0)</f>
        <v>2.0909614177176699</v>
      </c>
      <c r="L10" s="282">
        <f>IFERROR(SUM(J10/G10),0)</f>
        <v>1</v>
      </c>
      <c r="M10" s="282">
        <f t="shared" ref="M10:M41" si="0">IFERROR(SUM(J10/I10),0)</f>
        <v>1.7373500567401301</v>
      </c>
    </row>
    <row r="11" spans="1:13" s="305" customFormat="1" ht="20.25" x14ac:dyDescent="0.3">
      <c r="A11" s="304">
        <v>6</v>
      </c>
      <c r="B11" s="304"/>
      <c r="C11" s="304"/>
      <c r="D11" s="280"/>
      <c r="E11" s="280" t="s">
        <v>13</v>
      </c>
      <c r="F11" s="281">
        <f>SUM(F12+F26+F33+F42+F52+F58)</f>
        <v>1387459.8299999998</v>
      </c>
      <c r="G11" s="281">
        <f>SUM(G12+G26+G33+G42+G52+G58)</f>
        <v>2862407.9</v>
      </c>
      <c r="H11" s="281">
        <f>SUM(H12+H26+H33+H42+H52+H58)</f>
        <v>2154500</v>
      </c>
      <c r="I11" s="281">
        <f>SUM(I12+I26+I33+I42+I52+I58)</f>
        <v>1624300</v>
      </c>
      <c r="J11" s="281">
        <f>SUM(J12+J26+J33+J42+J52+J58)</f>
        <v>2862407.9</v>
      </c>
      <c r="K11" s="282">
        <f>IFERROR(SUM(J11/F11),0)</f>
        <v>2.063056412955754</v>
      </c>
      <c r="L11" s="282">
        <f>IFERROR(SUM(J11/G11),0)</f>
        <v>1</v>
      </c>
      <c r="M11" s="282">
        <f t="shared" si="0"/>
        <v>1.7622409037739333</v>
      </c>
    </row>
    <row r="12" spans="1:13" s="305" customFormat="1" ht="20.25" x14ac:dyDescent="0.3">
      <c r="A12" s="304"/>
      <c r="B12" s="304">
        <v>61</v>
      </c>
      <c r="C12" s="304"/>
      <c r="D12" s="280"/>
      <c r="E12" s="280" t="s">
        <v>14</v>
      </c>
      <c r="F12" s="281">
        <f>SUM(F13+F19+F21+F24)</f>
        <v>693567.63</v>
      </c>
      <c r="G12" s="281">
        <f>SUM(G13+G19+G21+G24)</f>
        <v>1433652.98</v>
      </c>
      <c r="H12" s="281">
        <f>SUM(H13+H19+H21+H24)</f>
        <v>65000</v>
      </c>
      <c r="I12" s="281">
        <f>SUM(I13+I19+I21+I24)</f>
        <v>155000</v>
      </c>
      <c r="J12" s="281">
        <f>SUM(J13+J19+J21+J24)</f>
        <v>1433652.98</v>
      </c>
      <c r="K12" s="282">
        <f>IFERROR(SUM(J12/F12),0)</f>
        <v>2.0670702004936419</v>
      </c>
      <c r="L12" s="282">
        <f>IFERROR(SUM(J12/G12),0)</f>
        <v>1</v>
      </c>
      <c r="M12" s="282">
        <f t="shared" si="0"/>
        <v>9.2493740645161289</v>
      </c>
    </row>
    <row r="13" spans="1:13" s="305" customFormat="1" ht="20.25" x14ac:dyDescent="0.3">
      <c r="A13" s="304"/>
      <c r="B13" s="304"/>
      <c r="C13" s="280">
        <v>611</v>
      </c>
      <c r="D13" s="280"/>
      <c r="E13" s="280" t="s">
        <v>24</v>
      </c>
      <c r="F13" s="281">
        <f>SUM(F14:F18)</f>
        <v>644325.15</v>
      </c>
      <c r="G13" s="281">
        <f>SUM(G14:G18)</f>
        <v>1302066.51</v>
      </c>
      <c r="H13" s="281">
        <f>SUM(H14:H18)</f>
        <v>0</v>
      </c>
      <c r="I13" s="281">
        <f>SUM(I14:I18)</f>
        <v>0</v>
      </c>
      <c r="J13" s="281">
        <f>SUM(J14:J18)</f>
        <v>1302066.51</v>
      </c>
      <c r="K13" s="282">
        <f>IFERROR(SUM(J13/F13),0)</f>
        <v>2.0208221113206584</v>
      </c>
      <c r="L13" s="282">
        <f>IFERROR(SUM(J13/G13),0)</f>
        <v>1</v>
      </c>
      <c r="M13" s="282">
        <f t="shared" si="0"/>
        <v>0</v>
      </c>
    </row>
    <row r="14" spans="1:13" ht="20.25" x14ac:dyDescent="0.3">
      <c r="A14" s="297"/>
      <c r="B14" s="297"/>
      <c r="C14" s="298"/>
      <c r="D14" s="298">
        <v>6111</v>
      </c>
      <c r="E14" s="299" t="s">
        <v>1016</v>
      </c>
      <c r="F14" s="300">
        <f>SUM('PRIHODI ZA VIJEĆE '!D19)</f>
        <v>568012.25</v>
      </c>
      <c r="G14" s="300">
        <f>SUM('PRIHODI ZA VIJEĆE '!E19)</f>
        <v>1041103.93</v>
      </c>
      <c r="H14" s="300">
        <f>SUM('PRIHODI ZA VIJEĆE '!F19)</f>
        <v>0</v>
      </c>
      <c r="I14" s="300">
        <f>SUM('PRIHODI ZA VIJEĆE '!G19)</f>
        <v>0</v>
      </c>
      <c r="J14" s="300">
        <f>SUM('PRIHODI ZA VIJEĆE '!H19)</f>
        <v>1041103.93</v>
      </c>
      <c r="K14" s="301">
        <f t="shared" ref="K14:K25" si="1">IFERROR(SUM(J14/F14),0)</f>
        <v>1.8328899244690586</v>
      </c>
      <c r="L14" s="301">
        <f t="shared" ref="L14:L25" si="2">IFERROR(SUM(J14/G14),0)</f>
        <v>1</v>
      </c>
      <c r="M14" s="301">
        <f t="shared" si="0"/>
        <v>0</v>
      </c>
    </row>
    <row r="15" spans="1:13" ht="20.25" x14ac:dyDescent="0.3">
      <c r="A15" s="297"/>
      <c r="B15" s="297"/>
      <c r="C15" s="298"/>
      <c r="D15" s="298">
        <v>6112</v>
      </c>
      <c r="E15" s="299" t="s">
        <v>1017</v>
      </c>
      <c r="F15" s="300">
        <f>SUM('PRIHODI ZA VIJEĆE '!D20)</f>
        <v>64497.79</v>
      </c>
      <c r="G15" s="300">
        <f>SUM('PRIHODI ZA VIJEĆE '!E20)</f>
        <v>182096.23</v>
      </c>
      <c r="H15" s="300">
        <f>SUM('PRIHODI ZA VIJEĆE '!F20)</f>
        <v>0</v>
      </c>
      <c r="I15" s="300">
        <f>SUM('PRIHODI ZA VIJEĆE '!G20)</f>
        <v>0</v>
      </c>
      <c r="J15" s="300">
        <f>SUM('PRIHODI ZA VIJEĆE '!H20)</f>
        <v>182096.23</v>
      </c>
      <c r="K15" s="301">
        <f t="shared" si="1"/>
        <v>2.8232941004645276</v>
      </c>
      <c r="L15" s="301">
        <f t="shared" si="2"/>
        <v>1</v>
      </c>
      <c r="M15" s="301">
        <f t="shared" si="0"/>
        <v>0</v>
      </c>
    </row>
    <row r="16" spans="1:13" ht="20.25" x14ac:dyDescent="0.3">
      <c r="A16" s="297"/>
      <c r="B16" s="297"/>
      <c r="C16" s="298"/>
      <c r="D16" s="298">
        <v>6113</v>
      </c>
      <c r="E16" s="299" t="s">
        <v>1018</v>
      </c>
      <c r="F16" s="300">
        <f>SUM('PRIHODI ZA VIJEĆE '!D21)</f>
        <v>20938.439999999999</v>
      </c>
      <c r="G16" s="300">
        <f>SUM('PRIHODI ZA VIJEĆE '!E21)</f>
        <v>40026.65</v>
      </c>
      <c r="H16" s="300">
        <f>SUM('PRIHODI ZA VIJEĆE '!F21)</f>
        <v>0</v>
      </c>
      <c r="I16" s="300">
        <f>SUM('PRIHODI ZA VIJEĆE '!G21)</f>
        <v>0</v>
      </c>
      <c r="J16" s="300">
        <f>SUM('PRIHODI ZA VIJEĆE '!H21)</f>
        <v>40026.65</v>
      </c>
      <c r="K16" s="301">
        <f t="shared" si="1"/>
        <v>1.9116347731731689</v>
      </c>
      <c r="L16" s="301">
        <f t="shared" si="2"/>
        <v>1</v>
      </c>
      <c r="M16" s="301">
        <f t="shared" si="0"/>
        <v>0</v>
      </c>
    </row>
    <row r="17" spans="1:13" ht="20.25" x14ac:dyDescent="0.3">
      <c r="A17" s="297"/>
      <c r="B17" s="297"/>
      <c r="C17" s="298"/>
      <c r="D17" s="298">
        <v>6114</v>
      </c>
      <c r="E17" s="299" t="s">
        <v>1019</v>
      </c>
      <c r="F17" s="300">
        <f>SUM('PRIHODI ZA VIJEĆE '!D22)</f>
        <v>9163.01</v>
      </c>
      <c r="G17" s="300">
        <f>SUM('PRIHODI ZA VIJEĆE '!E22)</f>
        <v>45097.18</v>
      </c>
      <c r="H17" s="300">
        <f>SUM('PRIHODI ZA VIJEĆE '!F22)</f>
        <v>0</v>
      </c>
      <c r="I17" s="300">
        <f>SUM('PRIHODI ZA VIJEĆE '!G22)</f>
        <v>0</v>
      </c>
      <c r="J17" s="300">
        <f>SUM('PRIHODI ZA VIJEĆE '!H22)</f>
        <v>45097.18</v>
      </c>
      <c r="K17" s="301">
        <f t="shared" si="1"/>
        <v>4.9216556568201932</v>
      </c>
      <c r="L17" s="301">
        <f t="shared" si="2"/>
        <v>1</v>
      </c>
      <c r="M17" s="301">
        <f t="shared" si="0"/>
        <v>0</v>
      </c>
    </row>
    <row r="18" spans="1:13" ht="20.25" x14ac:dyDescent="0.3">
      <c r="A18" s="297"/>
      <c r="B18" s="297"/>
      <c r="C18" s="298"/>
      <c r="D18" s="298">
        <v>6117</v>
      </c>
      <c r="E18" s="302" t="s">
        <v>1020</v>
      </c>
      <c r="F18" s="300">
        <f>SUM('PRIHODI ZA VIJEĆE '!D25)</f>
        <v>-18286.34</v>
      </c>
      <c r="G18" s="300">
        <f>SUM('PRIHODI ZA VIJEĆE '!E25)</f>
        <v>-6257.48</v>
      </c>
      <c r="H18" s="300">
        <f>SUM('PRIHODI ZA VIJEĆE '!F25)</f>
        <v>0</v>
      </c>
      <c r="I18" s="300">
        <f>SUM('PRIHODI ZA VIJEĆE '!G25)</f>
        <v>0</v>
      </c>
      <c r="J18" s="300">
        <f>SUM('PRIHODI ZA VIJEĆE '!H25)</f>
        <v>-6257.48</v>
      </c>
      <c r="K18" s="301">
        <f t="shared" si="1"/>
        <v>0.34219422804125921</v>
      </c>
      <c r="L18" s="301">
        <f t="shared" si="2"/>
        <v>1</v>
      </c>
      <c r="M18" s="301">
        <f t="shared" si="0"/>
        <v>0</v>
      </c>
    </row>
    <row r="19" spans="1:13" s="305" customFormat="1" ht="20.25" x14ac:dyDescent="0.3">
      <c r="A19" s="304"/>
      <c r="B19" s="304"/>
      <c r="C19" s="280">
        <v>613</v>
      </c>
      <c r="D19" s="280"/>
      <c r="E19" s="280" t="s">
        <v>25</v>
      </c>
      <c r="F19" s="281">
        <f>SUM(F20)</f>
        <v>45409.599999999999</v>
      </c>
      <c r="G19" s="281">
        <f>SUM(G20)</f>
        <v>122407.21</v>
      </c>
      <c r="H19" s="281">
        <f>SUM(H20)</f>
        <v>53000</v>
      </c>
      <c r="I19" s="281">
        <f>SUM(I20)</f>
        <v>143000</v>
      </c>
      <c r="J19" s="281">
        <f>SUM(J20)</f>
        <v>122407.21</v>
      </c>
      <c r="K19" s="282">
        <f t="shared" si="1"/>
        <v>2.6956240530636695</v>
      </c>
      <c r="L19" s="282">
        <f t="shared" si="2"/>
        <v>1</v>
      </c>
      <c r="M19" s="282">
        <f t="shared" si="0"/>
        <v>0.85599447552447561</v>
      </c>
    </row>
    <row r="20" spans="1:13" ht="20.25" x14ac:dyDescent="0.3">
      <c r="A20" s="297"/>
      <c r="B20" s="297"/>
      <c r="C20" s="298"/>
      <c r="D20" s="298">
        <v>6134</v>
      </c>
      <c r="E20" s="303" t="s">
        <v>1021</v>
      </c>
      <c r="F20" s="300">
        <f>SUM('PRIHODI ZA VIJEĆE '!D28)</f>
        <v>45409.599999999999</v>
      </c>
      <c r="G20" s="300">
        <f>SUM('PRIHODI ZA VIJEĆE '!E28)</f>
        <v>122407.21</v>
      </c>
      <c r="H20" s="300">
        <f>SUM('PRIHODI ZA VIJEĆE '!F28)</f>
        <v>53000</v>
      </c>
      <c r="I20" s="300">
        <f>SUM('PRIHODI ZA VIJEĆE '!G28)</f>
        <v>143000</v>
      </c>
      <c r="J20" s="300">
        <f>SUM('PRIHODI ZA VIJEĆE '!H28)</f>
        <v>122407.21</v>
      </c>
      <c r="K20" s="301">
        <f t="shared" si="1"/>
        <v>2.6956240530636695</v>
      </c>
      <c r="L20" s="301">
        <f t="shared" si="2"/>
        <v>1</v>
      </c>
      <c r="M20" s="301">
        <f t="shared" si="0"/>
        <v>0.85599447552447561</v>
      </c>
    </row>
    <row r="21" spans="1:13" s="305" customFormat="1" ht="20.25" x14ac:dyDescent="0.3">
      <c r="A21" s="304"/>
      <c r="B21" s="304"/>
      <c r="C21" s="280">
        <v>614</v>
      </c>
      <c r="D21" s="280"/>
      <c r="E21" s="280" t="s">
        <v>26</v>
      </c>
      <c r="F21" s="281">
        <f>SUM(F22:F23)</f>
        <v>3832.88</v>
      </c>
      <c r="G21" s="281">
        <f>SUM(G22:G23)</f>
        <v>9179.26</v>
      </c>
      <c r="H21" s="281">
        <f>SUM(H22:H23)</f>
        <v>11000</v>
      </c>
      <c r="I21" s="281">
        <f>SUM(I22:I23)</f>
        <v>11000</v>
      </c>
      <c r="J21" s="281">
        <f>SUM(J22:J23)</f>
        <v>9179.26</v>
      </c>
      <c r="K21" s="282">
        <f t="shared" si="1"/>
        <v>2.3948727849554383</v>
      </c>
      <c r="L21" s="282">
        <f t="shared" si="2"/>
        <v>1</v>
      </c>
      <c r="M21" s="282">
        <f t="shared" si="0"/>
        <v>0.83447818181818179</v>
      </c>
    </row>
    <row r="22" spans="1:13" ht="20.25" x14ac:dyDescent="0.3">
      <c r="A22" s="297"/>
      <c r="B22" s="297"/>
      <c r="C22" s="298"/>
      <c r="D22" s="298">
        <v>6142</v>
      </c>
      <c r="E22" s="303" t="s">
        <v>1022</v>
      </c>
      <c r="F22" s="300">
        <f>SUM('PRIHODI ZA VIJEĆE '!D30)</f>
        <v>3832.88</v>
      </c>
      <c r="G22" s="300">
        <f>SUM('PRIHODI ZA VIJEĆE '!E30)</f>
        <v>9179.26</v>
      </c>
      <c r="H22" s="300">
        <f>SUM('PRIHODI ZA VIJEĆE '!F30)</f>
        <v>11000</v>
      </c>
      <c r="I22" s="300">
        <f>SUM('PRIHODI ZA VIJEĆE '!G30)</f>
        <v>11000</v>
      </c>
      <c r="J22" s="300">
        <f>SUM('PRIHODI ZA VIJEĆE '!H30)</f>
        <v>9179.26</v>
      </c>
      <c r="K22" s="301">
        <f t="shared" si="1"/>
        <v>2.3948727849554383</v>
      </c>
      <c r="L22" s="301">
        <f t="shared" si="2"/>
        <v>1</v>
      </c>
      <c r="M22" s="301">
        <f t="shared" si="0"/>
        <v>0.83447818181818179</v>
      </c>
    </row>
    <row r="23" spans="1:13" ht="20.25" x14ac:dyDescent="0.3">
      <c r="A23" s="297"/>
      <c r="B23" s="297"/>
      <c r="C23" s="298"/>
      <c r="D23" s="298">
        <v>6145</v>
      </c>
      <c r="E23" s="303" t="s">
        <v>1023</v>
      </c>
      <c r="F23" s="300">
        <f>SUM('PRIHODI ZA VIJEĆE '!D31)</f>
        <v>0</v>
      </c>
      <c r="G23" s="300">
        <f>SUM('PRIHODI ZA VIJEĆE '!E31)</f>
        <v>0</v>
      </c>
      <c r="H23" s="300">
        <f>SUM('PRIHODI ZA VIJEĆE '!F31)</f>
        <v>0</v>
      </c>
      <c r="I23" s="300">
        <f>SUM('PRIHODI ZA VIJEĆE '!G31)</f>
        <v>0</v>
      </c>
      <c r="J23" s="300">
        <f>SUM('PRIHODI ZA VIJEĆE '!H31)</f>
        <v>0</v>
      </c>
      <c r="K23" s="301">
        <f t="shared" si="1"/>
        <v>0</v>
      </c>
      <c r="L23" s="301">
        <f t="shared" si="2"/>
        <v>0</v>
      </c>
      <c r="M23" s="301">
        <f t="shared" si="0"/>
        <v>0</v>
      </c>
    </row>
    <row r="24" spans="1:13" s="305" customFormat="1" ht="20.25" x14ac:dyDescent="0.3">
      <c r="A24" s="304"/>
      <c r="B24" s="304"/>
      <c r="C24" s="280">
        <v>616</v>
      </c>
      <c r="D24" s="280"/>
      <c r="E24" s="280" t="s">
        <v>45</v>
      </c>
      <c r="F24" s="281">
        <f>SUM(F25)</f>
        <v>0</v>
      </c>
      <c r="G24" s="281">
        <f>SUM(G25)</f>
        <v>0</v>
      </c>
      <c r="H24" s="281">
        <f>SUM(H25)</f>
        <v>1000</v>
      </c>
      <c r="I24" s="281">
        <f>SUM(I25)</f>
        <v>1000</v>
      </c>
      <c r="J24" s="281">
        <f>SUM(J25)</f>
        <v>0</v>
      </c>
      <c r="K24" s="282">
        <f t="shared" si="1"/>
        <v>0</v>
      </c>
      <c r="L24" s="282">
        <f t="shared" si="2"/>
        <v>0</v>
      </c>
      <c r="M24" s="282">
        <f t="shared" si="0"/>
        <v>0</v>
      </c>
    </row>
    <row r="25" spans="1:13" ht="20.25" x14ac:dyDescent="0.3">
      <c r="A25" s="297"/>
      <c r="B25" s="297"/>
      <c r="C25" s="298"/>
      <c r="D25" s="298">
        <v>6163</v>
      </c>
      <c r="E25" s="298" t="s">
        <v>1024</v>
      </c>
      <c r="F25" s="300">
        <f>SUM('PRIHODI ZA VIJEĆE '!D33)</f>
        <v>0</v>
      </c>
      <c r="G25" s="300">
        <f>SUM('PRIHODI ZA VIJEĆE '!E33)</f>
        <v>0</v>
      </c>
      <c r="H25" s="300">
        <f>SUM('PRIHODI ZA VIJEĆE '!F33)</f>
        <v>1000</v>
      </c>
      <c r="I25" s="300">
        <f>SUM('PRIHODI ZA VIJEĆE '!G33)</f>
        <v>1000</v>
      </c>
      <c r="J25" s="300">
        <f>SUM('PRIHODI ZA VIJEĆE '!H33)</f>
        <v>0</v>
      </c>
      <c r="K25" s="301">
        <f t="shared" si="1"/>
        <v>0</v>
      </c>
      <c r="L25" s="301">
        <f t="shared" si="2"/>
        <v>0</v>
      </c>
      <c r="M25" s="301">
        <f t="shared" si="0"/>
        <v>0</v>
      </c>
    </row>
    <row r="26" spans="1:13" s="305" customFormat="1" ht="20.25" x14ac:dyDescent="0.3">
      <c r="A26" s="304"/>
      <c r="B26" s="304">
        <v>63</v>
      </c>
      <c r="C26" s="304"/>
      <c r="D26" s="280"/>
      <c r="E26" s="280" t="s">
        <v>15</v>
      </c>
      <c r="F26" s="281">
        <f>SUM(F27+F30)</f>
        <v>613448.95999999996</v>
      </c>
      <c r="G26" s="281">
        <f>SUM(G27+G30)</f>
        <v>1287615.18</v>
      </c>
      <c r="H26" s="281">
        <f>SUM(H27+H30)</f>
        <v>1929000</v>
      </c>
      <c r="I26" s="281">
        <f>SUM(I27+I30)</f>
        <v>1339000</v>
      </c>
      <c r="J26" s="281">
        <f>SUM(J27+J30)</f>
        <v>1287615.18</v>
      </c>
      <c r="K26" s="282">
        <f t="shared" ref="K26:K43" si="3">IFERROR(SUM(J26/F26),0)</f>
        <v>2.0989768733164045</v>
      </c>
      <c r="L26" s="282">
        <f t="shared" ref="L26:L43" si="4">IFERROR(SUM(J26/G26),0)</f>
        <v>1</v>
      </c>
      <c r="M26" s="282">
        <f t="shared" si="0"/>
        <v>0.96162448095593722</v>
      </c>
    </row>
    <row r="27" spans="1:13" s="305" customFormat="1" ht="20.25" x14ac:dyDescent="0.3">
      <c r="A27" s="304"/>
      <c r="B27" s="304"/>
      <c r="C27" s="280">
        <v>633</v>
      </c>
      <c r="D27" s="280"/>
      <c r="E27" s="280" t="s">
        <v>27</v>
      </c>
      <c r="F27" s="281">
        <f>SUM(F28:F29)</f>
        <v>495419.9</v>
      </c>
      <c r="G27" s="281">
        <f>SUM(G28:G29)</f>
        <v>1102994.72</v>
      </c>
      <c r="H27" s="281">
        <f>SUM(H28:H29)</f>
        <v>1579000</v>
      </c>
      <c r="I27" s="281">
        <f>SUM(I28:I29)</f>
        <v>1089000</v>
      </c>
      <c r="J27" s="281">
        <f>SUM(J28:J29)</f>
        <v>1102994.72</v>
      </c>
      <c r="K27" s="282">
        <f t="shared" si="3"/>
        <v>2.2263835586741672</v>
      </c>
      <c r="L27" s="282">
        <f t="shared" si="4"/>
        <v>1</v>
      </c>
      <c r="M27" s="282">
        <f t="shared" si="0"/>
        <v>1.0128509825528007</v>
      </c>
    </row>
    <row r="28" spans="1:13" ht="20.25" x14ac:dyDescent="0.3">
      <c r="A28" s="297"/>
      <c r="B28" s="297"/>
      <c r="C28" s="298"/>
      <c r="D28" s="298">
        <v>6331</v>
      </c>
      <c r="E28" s="298" t="s">
        <v>1025</v>
      </c>
      <c r="F28" s="300">
        <f>SUM('PRIHODI ZA VIJEĆE '!D36)+'PRIHODI ZA VIJEĆE '!D37</f>
        <v>421331.9</v>
      </c>
      <c r="G28" s="300">
        <f>SUM('PRIHODI ZA VIJEĆE '!E36)+'PRIHODI ZA VIJEĆE '!E37</f>
        <v>941198.98</v>
      </c>
      <c r="H28" s="300">
        <f>SUM('PRIHODI ZA VIJEĆE '!F36)+'PRIHODI ZA VIJEĆE '!F37</f>
        <v>279000</v>
      </c>
      <c r="I28" s="300">
        <f>SUM('PRIHODI ZA VIJEĆE '!G36)+'PRIHODI ZA VIJEĆE '!G37</f>
        <v>979000</v>
      </c>
      <c r="J28" s="300">
        <f>SUM('PRIHODI ZA VIJEĆE '!H36)+'PRIHODI ZA VIJEĆE '!H37</f>
        <v>941198.98</v>
      </c>
      <c r="K28" s="301">
        <f t="shared" si="3"/>
        <v>2.2338659379933015</v>
      </c>
      <c r="L28" s="301">
        <f t="shared" si="4"/>
        <v>1</v>
      </c>
      <c r="M28" s="301">
        <f t="shared" si="0"/>
        <v>0.96138813074565876</v>
      </c>
    </row>
    <row r="29" spans="1:13" ht="20.25" x14ac:dyDescent="0.3">
      <c r="A29" s="297"/>
      <c r="B29" s="297"/>
      <c r="C29" s="298"/>
      <c r="D29" s="298">
        <v>6332</v>
      </c>
      <c r="E29" s="298" t="s">
        <v>1026</v>
      </c>
      <c r="F29" s="300">
        <f>SUM('PRIHODI ZA VIJEĆE '!D38)</f>
        <v>74088</v>
      </c>
      <c r="G29" s="300">
        <f>SUM('PRIHODI ZA VIJEĆE '!E38)</f>
        <v>161795.74</v>
      </c>
      <c r="H29" s="300">
        <f>SUM('PRIHODI ZA VIJEĆE '!F38)</f>
        <v>1300000</v>
      </c>
      <c r="I29" s="300">
        <f>SUM('PRIHODI ZA VIJEĆE '!G38)</f>
        <v>110000</v>
      </c>
      <c r="J29" s="300">
        <f>SUM('PRIHODI ZA VIJEĆE '!H38)</f>
        <v>161795.74</v>
      </c>
      <c r="K29" s="301">
        <f t="shared" si="3"/>
        <v>2.1838319295972357</v>
      </c>
      <c r="L29" s="301">
        <f t="shared" si="4"/>
        <v>1</v>
      </c>
      <c r="M29" s="301">
        <f t="shared" si="0"/>
        <v>1.4708703636363636</v>
      </c>
    </row>
    <row r="30" spans="1:13" s="305" customFormat="1" ht="20.25" x14ac:dyDescent="0.3">
      <c r="A30" s="304"/>
      <c r="B30" s="304"/>
      <c r="C30" s="280">
        <v>634</v>
      </c>
      <c r="D30" s="280"/>
      <c r="E30" s="280" t="s">
        <v>46</v>
      </c>
      <c r="F30" s="281">
        <f>SUM(F31:F32)</f>
        <v>118029.06</v>
      </c>
      <c r="G30" s="281">
        <f t="shared" ref="G30:J30" si="5">SUM(G31:G32)</f>
        <v>184620.46</v>
      </c>
      <c r="H30" s="281">
        <f t="shared" si="5"/>
        <v>350000</v>
      </c>
      <c r="I30" s="281">
        <f t="shared" si="5"/>
        <v>250000</v>
      </c>
      <c r="J30" s="281">
        <f t="shared" si="5"/>
        <v>184620.46</v>
      </c>
      <c r="K30" s="282">
        <f t="shared" si="3"/>
        <v>1.5641949533445407</v>
      </c>
      <c r="L30" s="282">
        <f t="shared" si="4"/>
        <v>1</v>
      </c>
      <c r="M30" s="282">
        <f t="shared" si="0"/>
        <v>0.73848183999999994</v>
      </c>
    </row>
    <row r="31" spans="1:13" ht="20.25" x14ac:dyDescent="0.3">
      <c r="A31" s="297"/>
      <c r="B31" s="297"/>
      <c r="C31" s="298"/>
      <c r="D31" s="298">
        <v>6341</v>
      </c>
      <c r="E31" s="298" t="s">
        <v>1027</v>
      </c>
      <c r="F31" s="300">
        <f>SUM('PRIHODI ZA VIJEĆE '!D41)+'PRIHODI ZA VIJEĆE '!D39+'PRIHODI ZA VIJEĆE '!D43</f>
        <v>118029.06</v>
      </c>
      <c r="G31" s="300">
        <f>SUM('PRIHODI ZA VIJEĆE '!E41)+'PRIHODI ZA VIJEĆE '!E39+'PRIHODI ZA VIJEĆE '!E43</f>
        <v>132940.46</v>
      </c>
      <c r="H31" s="300">
        <f>SUM('PRIHODI ZA VIJEĆE '!F41)+'PRIHODI ZA VIJEĆE '!F39+'PRIHODI ZA VIJEĆE '!F43</f>
        <v>350000</v>
      </c>
      <c r="I31" s="300">
        <f>SUM('PRIHODI ZA VIJEĆE '!G41)+'PRIHODI ZA VIJEĆE '!G39+'PRIHODI ZA VIJEĆE '!G43</f>
        <v>150000</v>
      </c>
      <c r="J31" s="300">
        <f>SUM('PRIHODI ZA VIJEĆE '!H41)+'PRIHODI ZA VIJEĆE '!H39+'PRIHODI ZA VIJEĆE '!H43</f>
        <v>132940.46</v>
      </c>
      <c r="K31" s="301">
        <f t="shared" si="3"/>
        <v>1.1263366835252266</v>
      </c>
      <c r="L31" s="301">
        <f t="shared" si="4"/>
        <v>1</v>
      </c>
      <c r="M31" s="301">
        <f t="shared" si="0"/>
        <v>0.88626973333333325</v>
      </c>
    </row>
    <row r="32" spans="1:13" ht="20.25" x14ac:dyDescent="0.3">
      <c r="A32" s="297"/>
      <c r="B32" s="297"/>
      <c r="C32" s="298"/>
      <c r="D32" s="298">
        <v>6342</v>
      </c>
      <c r="E32" s="298" t="s">
        <v>1113</v>
      </c>
      <c r="F32" s="300">
        <f>SUM('PRIHODI ZA VIJEĆE '!D44)</f>
        <v>0</v>
      </c>
      <c r="G32" s="300">
        <f>SUM('PRIHODI ZA VIJEĆE '!E44)</f>
        <v>51680</v>
      </c>
      <c r="H32" s="300">
        <f>SUM('PRIHODI ZA VIJEĆE '!F44)</f>
        <v>0</v>
      </c>
      <c r="I32" s="300">
        <f>SUM('PRIHODI ZA VIJEĆE '!G44)</f>
        <v>100000</v>
      </c>
      <c r="J32" s="300">
        <f>SUM('PRIHODI ZA VIJEĆE '!H44)</f>
        <v>51680</v>
      </c>
      <c r="K32" s="301">
        <f t="shared" ref="K32" si="6">IFERROR(SUM(J32/F32),0)</f>
        <v>0</v>
      </c>
      <c r="L32" s="301">
        <f t="shared" ref="L32" si="7">IFERROR(SUM(J32/G32),0)</f>
        <v>1</v>
      </c>
      <c r="M32" s="301">
        <f t="shared" si="0"/>
        <v>0.51680000000000004</v>
      </c>
    </row>
    <row r="33" spans="1:13" s="305" customFormat="1" ht="20.25" x14ac:dyDescent="0.3">
      <c r="A33" s="304"/>
      <c r="B33" s="304">
        <v>64</v>
      </c>
      <c r="C33" s="304"/>
      <c r="D33" s="280"/>
      <c r="E33" s="280" t="s">
        <v>16</v>
      </c>
      <c r="F33" s="281">
        <f>SUM(F34+F36+F40)</f>
        <v>45444.7</v>
      </c>
      <c r="G33" s="281">
        <f>SUM(G34+G36+G40)</f>
        <v>84598.53</v>
      </c>
      <c r="H33" s="281">
        <f>SUM(H34+H36+H40)</f>
        <v>72500</v>
      </c>
      <c r="I33" s="281">
        <f>SUM(I34+I36+I40)</f>
        <v>52000</v>
      </c>
      <c r="J33" s="281">
        <f>SUM(J34+J36+J40)</f>
        <v>84598.53</v>
      </c>
      <c r="K33" s="282">
        <f t="shared" si="3"/>
        <v>1.8615708762517962</v>
      </c>
      <c r="L33" s="282">
        <f t="shared" si="4"/>
        <v>1</v>
      </c>
      <c r="M33" s="282">
        <f t="shared" si="0"/>
        <v>1.6268948076923078</v>
      </c>
    </row>
    <row r="34" spans="1:13" s="305" customFormat="1" ht="20.25" x14ac:dyDescent="0.3">
      <c r="A34" s="304"/>
      <c r="B34" s="304"/>
      <c r="C34" s="280">
        <v>641</v>
      </c>
      <c r="D34" s="280"/>
      <c r="E34" s="280" t="s">
        <v>28</v>
      </c>
      <c r="F34" s="281">
        <f>SUM(F35)</f>
        <v>0.14000000000000001</v>
      </c>
      <c r="G34" s="281">
        <f>SUM(G35)</f>
        <v>0.4</v>
      </c>
      <c r="H34" s="281">
        <f>SUM(H35)</f>
        <v>500</v>
      </c>
      <c r="I34" s="281">
        <f>SUM(I35)</f>
        <v>100</v>
      </c>
      <c r="J34" s="281">
        <f>SUM(J35)</f>
        <v>0.4</v>
      </c>
      <c r="K34" s="282">
        <f t="shared" si="3"/>
        <v>2.8571428571428572</v>
      </c>
      <c r="L34" s="282">
        <f t="shared" si="4"/>
        <v>1</v>
      </c>
      <c r="M34" s="282">
        <f t="shared" si="0"/>
        <v>4.0000000000000001E-3</v>
      </c>
    </row>
    <row r="35" spans="1:13" ht="20.25" x14ac:dyDescent="0.3">
      <c r="A35" s="297"/>
      <c r="B35" s="297"/>
      <c r="C35" s="298"/>
      <c r="D35" s="298">
        <v>6413</v>
      </c>
      <c r="E35" s="298" t="s">
        <v>1028</v>
      </c>
      <c r="F35" s="300">
        <f>SUM('PRIHODI ZA VIJEĆE '!D47)</f>
        <v>0.14000000000000001</v>
      </c>
      <c r="G35" s="300">
        <f>SUM('PRIHODI ZA VIJEĆE '!E47)</f>
        <v>0.4</v>
      </c>
      <c r="H35" s="300">
        <f>SUM('PRIHODI ZA VIJEĆE '!F47)</f>
        <v>500</v>
      </c>
      <c r="I35" s="300">
        <f>SUM('PRIHODI ZA VIJEĆE '!G47)</f>
        <v>100</v>
      </c>
      <c r="J35" s="300">
        <f>SUM('PRIHODI ZA VIJEĆE '!H47)</f>
        <v>0.4</v>
      </c>
      <c r="K35" s="301">
        <f t="shared" si="3"/>
        <v>2.8571428571428572</v>
      </c>
      <c r="L35" s="301">
        <f t="shared" si="4"/>
        <v>1</v>
      </c>
      <c r="M35" s="301">
        <f t="shared" si="0"/>
        <v>4.0000000000000001E-3</v>
      </c>
    </row>
    <row r="36" spans="1:13" s="305" customFormat="1" ht="20.25" x14ac:dyDescent="0.3">
      <c r="A36" s="304"/>
      <c r="B36" s="304"/>
      <c r="C36" s="280">
        <v>642</v>
      </c>
      <c r="D36" s="280"/>
      <c r="E36" s="280" t="s">
        <v>29</v>
      </c>
      <c r="F36" s="281">
        <f>SUM(F37:F39)</f>
        <v>45444.56</v>
      </c>
      <c r="G36" s="281">
        <f>SUM(G37:G39)</f>
        <v>83626.600000000006</v>
      </c>
      <c r="H36" s="281">
        <f>SUM(H37:H39)</f>
        <v>72000</v>
      </c>
      <c r="I36" s="281">
        <f>SUM(I37:I39)</f>
        <v>50900</v>
      </c>
      <c r="J36" s="281">
        <f>SUM(J37:J39)</f>
        <v>83626.600000000006</v>
      </c>
      <c r="K36" s="282">
        <f t="shared" si="3"/>
        <v>1.8401894528189955</v>
      </c>
      <c r="L36" s="282">
        <f t="shared" si="4"/>
        <v>1</v>
      </c>
      <c r="M36" s="282">
        <f t="shared" si="0"/>
        <v>1.6429587426326131</v>
      </c>
    </row>
    <row r="37" spans="1:13" ht="20.25" x14ac:dyDescent="0.3">
      <c r="A37" s="297"/>
      <c r="B37" s="297"/>
      <c r="C37" s="298"/>
      <c r="D37" s="298">
        <v>6421</v>
      </c>
      <c r="E37" s="298" t="s">
        <v>1029</v>
      </c>
      <c r="F37" s="300">
        <f>SUM('PRIHODI ZA VIJEĆE '!D50)</f>
        <v>7565.2</v>
      </c>
      <c r="G37" s="300">
        <f>SUM('PRIHODI ZA VIJEĆE '!E50)</f>
        <v>17924.990000000002</v>
      </c>
      <c r="H37" s="300">
        <f>SUM('PRIHODI ZA VIJEĆE '!F50)</f>
        <v>72000</v>
      </c>
      <c r="I37" s="300">
        <f>SUM('PRIHODI ZA VIJEĆE '!G50)</f>
        <v>15000</v>
      </c>
      <c r="J37" s="300">
        <f>SUM('PRIHODI ZA VIJEĆE '!H50)</f>
        <v>17924.990000000002</v>
      </c>
      <c r="K37" s="301">
        <f t="shared" si="3"/>
        <v>2.3694006767831652</v>
      </c>
      <c r="L37" s="301">
        <f t="shared" si="4"/>
        <v>1</v>
      </c>
      <c r="M37" s="301">
        <f t="shared" si="0"/>
        <v>1.1949993333333335</v>
      </c>
    </row>
    <row r="38" spans="1:13" ht="20.25" x14ac:dyDescent="0.3">
      <c r="A38" s="297"/>
      <c r="B38" s="297"/>
      <c r="C38" s="298"/>
      <c r="D38" s="298">
        <v>6422</v>
      </c>
      <c r="E38" s="298" t="s">
        <v>1030</v>
      </c>
      <c r="F38" s="300">
        <f>SUM('PRIHODI ZA VIJEĆE '!D51)</f>
        <v>37877.279999999999</v>
      </c>
      <c r="G38" s="300">
        <f>SUM('PRIHODI ZA VIJEĆE '!E51)</f>
        <v>65696.7</v>
      </c>
      <c r="H38" s="300">
        <f>SUM('PRIHODI ZA VIJEĆE '!F51)</f>
        <v>0</v>
      </c>
      <c r="I38" s="300">
        <f>SUM('PRIHODI ZA VIJEĆE '!G51)</f>
        <v>35800</v>
      </c>
      <c r="J38" s="300">
        <f>SUM('PRIHODI ZA VIJEĆE '!H51)</f>
        <v>65696.7</v>
      </c>
      <c r="K38" s="301">
        <f t="shared" si="3"/>
        <v>1.7344619254603286</v>
      </c>
      <c r="L38" s="301">
        <f t="shared" si="4"/>
        <v>1</v>
      </c>
      <c r="M38" s="301">
        <f t="shared" si="0"/>
        <v>1.8351033519553073</v>
      </c>
    </row>
    <row r="39" spans="1:13" ht="20.25" x14ac:dyDescent="0.3">
      <c r="A39" s="297"/>
      <c r="B39" s="297"/>
      <c r="C39" s="298"/>
      <c r="D39" s="298">
        <v>6423</v>
      </c>
      <c r="E39" s="298" t="s">
        <v>1031</v>
      </c>
      <c r="F39" s="300">
        <f>SUM('PRIHODI ZA VIJEĆE '!D52)</f>
        <v>2.08</v>
      </c>
      <c r="G39" s="300">
        <f>SUM('PRIHODI ZA VIJEĆE '!E52)</f>
        <v>4.91</v>
      </c>
      <c r="H39" s="300">
        <f>SUM('PRIHODI ZA VIJEĆE '!F52)</f>
        <v>0</v>
      </c>
      <c r="I39" s="300">
        <f>SUM('PRIHODI ZA VIJEĆE '!G52)</f>
        <v>100</v>
      </c>
      <c r="J39" s="300">
        <f>SUM('PRIHODI ZA VIJEĆE '!H52)</f>
        <v>4.91</v>
      </c>
      <c r="K39" s="301">
        <f t="shared" si="3"/>
        <v>2.3605769230769229</v>
      </c>
      <c r="L39" s="301">
        <f t="shared" si="4"/>
        <v>1</v>
      </c>
      <c r="M39" s="301">
        <f t="shared" si="0"/>
        <v>4.9100000000000005E-2</v>
      </c>
    </row>
    <row r="40" spans="1:13" s="305" customFormat="1" ht="20.25" x14ac:dyDescent="0.3">
      <c r="A40" s="304"/>
      <c r="B40" s="304"/>
      <c r="C40" s="280">
        <v>643</v>
      </c>
      <c r="D40" s="280"/>
      <c r="E40" s="280" t="s">
        <v>1032</v>
      </c>
      <c r="F40" s="281">
        <f>SUM(F41)</f>
        <v>0</v>
      </c>
      <c r="G40" s="281">
        <f>SUM(G41)</f>
        <v>971.53</v>
      </c>
      <c r="H40" s="281">
        <f>SUM(H41)</f>
        <v>0</v>
      </c>
      <c r="I40" s="281">
        <f>SUM(I41)</f>
        <v>1000</v>
      </c>
      <c r="J40" s="281">
        <f>SUM(J41)</f>
        <v>971.53</v>
      </c>
      <c r="K40" s="282">
        <f t="shared" si="3"/>
        <v>0</v>
      </c>
      <c r="L40" s="282">
        <f t="shared" si="4"/>
        <v>1</v>
      </c>
      <c r="M40" s="282">
        <f t="shared" si="0"/>
        <v>0.97153</v>
      </c>
    </row>
    <row r="41" spans="1:13" ht="40.5" x14ac:dyDescent="0.3">
      <c r="A41" s="297"/>
      <c r="B41" s="297"/>
      <c r="C41" s="298"/>
      <c r="D41" s="298">
        <v>6434</v>
      </c>
      <c r="E41" s="306" t="s">
        <v>1040</v>
      </c>
      <c r="F41" s="300">
        <f>SUM('PRIHODI ZA VIJEĆE '!D54)</f>
        <v>0</v>
      </c>
      <c r="G41" s="300">
        <f>SUM('PRIHODI ZA VIJEĆE '!E54)</f>
        <v>971.53</v>
      </c>
      <c r="H41" s="300">
        <f>SUM('PRIHODI ZA VIJEĆE '!F54)</f>
        <v>0</v>
      </c>
      <c r="I41" s="300">
        <f>SUM('PRIHODI ZA VIJEĆE '!G54)</f>
        <v>1000</v>
      </c>
      <c r="J41" s="300">
        <f>SUM('PRIHODI ZA VIJEĆE '!H54)</f>
        <v>971.53</v>
      </c>
      <c r="K41" s="301">
        <f t="shared" si="3"/>
        <v>0</v>
      </c>
      <c r="L41" s="301">
        <f t="shared" si="4"/>
        <v>1</v>
      </c>
      <c r="M41" s="301">
        <f t="shared" si="0"/>
        <v>0.97153</v>
      </c>
    </row>
    <row r="42" spans="1:13" s="305" customFormat="1" ht="20.25" x14ac:dyDescent="0.3">
      <c r="A42" s="304"/>
      <c r="B42" s="304">
        <v>65</v>
      </c>
      <c r="C42" s="304"/>
      <c r="D42" s="280"/>
      <c r="E42" s="280" t="s">
        <v>30</v>
      </c>
      <c r="F42" s="281">
        <f>SUM(F43+F46+F49)</f>
        <v>19374.219999999998</v>
      </c>
      <c r="G42" s="281">
        <f>SUM(G43+G46+G49)</f>
        <v>39770.550000000003</v>
      </c>
      <c r="H42" s="281">
        <f>SUM(H43+H46+H49)</f>
        <v>70000</v>
      </c>
      <c r="I42" s="281">
        <f>SUM(I43+I46+I49)</f>
        <v>43300</v>
      </c>
      <c r="J42" s="281">
        <f>SUM(J43+J46+J49)</f>
        <v>39770.550000000003</v>
      </c>
      <c r="K42" s="282">
        <f t="shared" si="3"/>
        <v>2.0527561883781646</v>
      </c>
      <c r="L42" s="282">
        <f t="shared" si="4"/>
        <v>1</v>
      </c>
      <c r="M42" s="282">
        <f t="shared" ref="M42:M60" si="8">IFERROR(SUM(J42/I42),0)</f>
        <v>0.91848845265588919</v>
      </c>
    </row>
    <row r="43" spans="1:13" s="305" customFormat="1" ht="20.25" x14ac:dyDescent="0.3">
      <c r="A43" s="304"/>
      <c r="B43" s="304"/>
      <c r="C43" s="280">
        <v>651</v>
      </c>
      <c r="D43" s="280"/>
      <c r="E43" s="280" t="s">
        <v>31</v>
      </c>
      <c r="F43" s="281">
        <f>SUM(F44:F45)</f>
        <v>0</v>
      </c>
      <c r="G43" s="281">
        <f>SUM('PRIHODI ZA VIJEĆE '!E57)</f>
        <v>0</v>
      </c>
      <c r="H43" s="281">
        <f>SUM('PRIHODI ZA VIJEĆE '!F57)</f>
        <v>3000</v>
      </c>
      <c r="I43" s="281">
        <f>SUM('PRIHODI ZA VIJEĆE '!G57)</f>
        <v>0</v>
      </c>
      <c r="J43" s="281">
        <f>SUM('PRIHODI ZA VIJEĆE '!H57)</f>
        <v>0</v>
      </c>
      <c r="K43" s="282">
        <f t="shared" si="3"/>
        <v>0</v>
      </c>
      <c r="L43" s="282">
        <f t="shared" si="4"/>
        <v>0</v>
      </c>
      <c r="M43" s="282">
        <f t="shared" si="8"/>
        <v>0</v>
      </c>
    </row>
    <row r="44" spans="1:13" ht="20.25" x14ac:dyDescent="0.3">
      <c r="A44" s="297"/>
      <c r="B44" s="297"/>
      <c r="C44" s="298"/>
      <c r="D44" s="298">
        <v>6513</v>
      </c>
      <c r="E44" s="298" t="s">
        <v>1033</v>
      </c>
      <c r="F44" s="300">
        <f>SUM('PRIHODI ZA VIJEĆE '!D58)</f>
        <v>0</v>
      </c>
      <c r="G44" s="300">
        <f>SUM('PRIHODI ZA VIJEĆE '!E58)</f>
        <v>0</v>
      </c>
      <c r="H44" s="300">
        <f>SUM('PRIHODI ZA VIJEĆE '!F58)</f>
        <v>3000</v>
      </c>
      <c r="I44" s="300">
        <f>SUM('PRIHODI ZA VIJEĆE '!G58)</f>
        <v>0</v>
      </c>
      <c r="J44" s="300">
        <f>SUM('PRIHODI ZA VIJEĆE '!H58)</f>
        <v>0</v>
      </c>
      <c r="K44" s="301">
        <f t="shared" ref="K44:K51" si="9">IFERROR(SUM(J44/F44),0)</f>
        <v>0</v>
      </c>
      <c r="L44" s="301">
        <f t="shared" ref="L44:L51" si="10">IFERROR(SUM(J44/G44),0)</f>
        <v>0</v>
      </c>
      <c r="M44" s="301">
        <f t="shared" si="8"/>
        <v>0</v>
      </c>
    </row>
    <row r="45" spans="1:13" ht="20.25" x14ac:dyDescent="0.3">
      <c r="A45" s="297"/>
      <c r="B45" s="297"/>
      <c r="C45" s="298"/>
      <c r="D45" s="298">
        <v>6514</v>
      </c>
      <c r="E45" s="298" t="s">
        <v>282</v>
      </c>
      <c r="F45" s="300">
        <f>SUM('PRIHODI ZA VIJEĆE '!D59)</f>
        <v>0</v>
      </c>
      <c r="G45" s="300">
        <f>SUM('PRIHODI ZA VIJEĆE '!E59)</f>
        <v>0</v>
      </c>
      <c r="H45" s="300">
        <f>SUM('PRIHODI ZA VIJEĆE '!F59)</f>
        <v>0</v>
      </c>
      <c r="I45" s="300">
        <f>SUM('PRIHODI ZA VIJEĆE '!G59)</f>
        <v>0</v>
      </c>
      <c r="J45" s="300">
        <f>SUM('PRIHODI ZA VIJEĆE '!H59)</f>
        <v>0</v>
      </c>
      <c r="K45" s="301">
        <f t="shared" si="9"/>
        <v>0</v>
      </c>
      <c r="L45" s="301">
        <f t="shared" si="10"/>
        <v>0</v>
      </c>
      <c r="M45" s="301">
        <f t="shared" si="8"/>
        <v>0</v>
      </c>
    </row>
    <row r="46" spans="1:13" s="305" customFormat="1" ht="20.25" x14ac:dyDescent="0.3">
      <c r="A46" s="304"/>
      <c r="B46" s="304"/>
      <c r="C46" s="280">
        <v>652</v>
      </c>
      <c r="D46" s="280"/>
      <c r="E46" s="280" t="s">
        <v>32</v>
      </c>
      <c r="F46" s="281">
        <f>SUM(F47:F48)</f>
        <v>280.05</v>
      </c>
      <c r="G46" s="281">
        <f>SUM(G47:G48)</f>
        <v>299.43</v>
      </c>
      <c r="H46" s="281">
        <f>SUM(H47:H48)</f>
        <v>4000</v>
      </c>
      <c r="I46" s="281">
        <f>SUM(I47:I48)</f>
        <v>300</v>
      </c>
      <c r="J46" s="281">
        <f>SUM(J47:J48)</f>
        <v>299.43</v>
      </c>
      <c r="K46" s="282">
        <f t="shared" si="9"/>
        <v>1.0692019282271024</v>
      </c>
      <c r="L46" s="282">
        <f t="shared" si="10"/>
        <v>1</v>
      </c>
      <c r="M46" s="282">
        <f t="shared" si="8"/>
        <v>0.99809999999999999</v>
      </c>
    </row>
    <row r="47" spans="1:13" ht="20.25" x14ac:dyDescent="0.3">
      <c r="A47" s="297"/>
      <c r="B47" s="297"/>
      <c r="C47" s="298"/>
      <c r="D47" s="298">
        <v>6522</v>
      </c>
      <c r="E47" s="298" t="s">
        <v>1034</v>
      </c>
      <c r="F47" s="300">
        <f>SUM('PRIHODI ZA VIJEĆE '!D61)</f>
        <v>0</v>
      </c>
      <c r="G47" s="300">
        <f>SUM('PRIHODI ZA VIJEĆE '!E61)</f>
        <v>19.38</v>
      </c>
      <c r="H47" s="300">
        <f>SUM('PRIHODI ZA VIJEĆE '!F61)</f>
        <v>0</v>
      </c>
      <c r="I47" s="300">
        <f>SUM('PRIHODI ZA VIJEĆE '!G61)</f>
        <v>0</v>
      </c>
      <c r="J47" s="300">
        <f>SUM('PRIHODI ZA VIJEĆE '!H61)</f>
        <v>19.38</v>
      </c>
      <c r="K47" s="286">
        <f t="shared" si="9"/>
        <v>0</v>
      </c>
      <c r="L47" s="286">
        <f t="shared" si="10"/>
        <v>1</v>
      </c>
      <c r="M47" s="286">
        <f t="shared" si="8"/>
        <v>0</v>
      </c>
    </row>
    <row r="48" spans="1:13" ht="20.25" x14ac:dyDescent="0.3">
      <c r="A48" s="297"/>
      <c r="B48" s="297"/>
      <c r="C48" s="298"/>
      <c r="D48" s="298">
        <v>6524</v>
      </c>
      <c r="E48" s="298" t="s">
        <v>1035</v>
      </c>
      <c r="F48" s="300">
        <f>SUM('PRIHODI ZA VIJEĆE '!D62)</f>
        <v>280.05</v>
      </c>
      <c r="G48" s="300">
        <f>SUM('PRIHODI ZA VIJEĆE '!E62)</f>
        <v>280.05</v>
      </c>
      <c r="H48" s="300">
        <f>SUM('PRIHODI ZA VIJEĆE '!F62)</f>
        <v>4000</v>
      </c>
      <c r="I48" s="300">
        <f>SUM('PRIHODI ZA VIJEĆE '!G62)</f>
        <v>300</v>
      </c>
      <c r="J48" s="300">
        <f>SUM('PRIHODI ZA VIJEĆE '!H62)</f>
        <v>280.05</v>
      </c>
      <c r="K48" s="286">
        <f t="shared" si="9"/>
        <v>1</v>
      </c>
      <c r="L48" s="286">
        <f t="shared" si="10"/>
        <v>1</v>
      </c>
      <c r="M48" s="286">
        <f t="shared" si="8"/>
        <v>0.9335</v>
      </c>
    </row>
    <row r="49" spans="1:14" s="305" customFormat="1" ht="20.25" x14ac:dyDescent="0.3">
      <c r="A49" s="304"/>
      <c r="B49" s="304"/>
      <c r="C49" s="280">
        <v>653</v>
      </c>
      <c r="D49" s="280"/>
      <c r="E49" s="280" t="s">
        <v>544</v>
      </c>
      <c r="F49" s="281">
        <f>SUM(F50:F51)</f>
        <v>19094.169999999998</v>
      </c>
      <c r="G49" s="281">
        <f>SUM(G50:G51)</f>
        <v>39471.120000000003</v>
      </c>
      <c r="H49" s="281">
        <f>SUM(H50:H51)</f>
        <v>63000</v>
      </c>
      <c r="I49" s="281">
        <f>SUM(I50:I51)</f>
        <v>43000</v>
      </c>
      <c r="J49" s="281">
        <f>SUM(J50:J51)</f>
        <v>39471.120000000003</v>
      </c>
      <c r="K49" s="282">
        <f t="shared" si="9"/>
        <v>2.067181762810324</v>
      </c>
      <c r="L49" s="282">
        <f t="shared" si="10"/>
        <v>1</v>
      </c>
      <c r="M49" s="282">
        <f t="shared" si="8"/>
        <v>0.91793302325581405</v>
      </c>
    </row>
    <row r="50" spans="1:14" ht="20.25" x14ac:dyDescent="0.3">
      <c r="A50" s="297"/>
      <c r="B50" s="297"/>
      <c r="C50" s="298"/>
      <c r="D50" s="298">
        <v>6531</v>
      </c>
      <c r="E50" s="298" t="s">
        <v>1036</v>
      </c>
      <c r="F50" s="300">
        <f>SUM('PRIHODI ZA VIJEĆE '!D66)+'PRIHODI ZA VIJEĆE '!D67</f>
        <v>261.78000000000003</v>
      </c>
      <c r="G50" s="300">
        <f>SUM('PRIHODI ZA VIJEĆE '!E66)+'PRIHODI ZA VIJEĆE '!E67</f>
        <v>1698.0500000000002</v>
      </c>
      <c r="H50" s="300">
        <f>SUM('PRIHODI ZA VIJEĆE '!F66)+'PRIHODI ZA VIJEĆE '!F67</f>
        <v>63000</v>
      </c>
      <c r="I50" s="300">
        <f>SUM('PRIHODI ZA VIJEĆE '!G66)+'PRIHODI ZA VIJEĆE '!G67</f>
        <v>2000</v>
      </c>
      <c r="J50" s="300">
        <f>SUM('PRIHODI ZA VIJEĆE '!H66)+'PRIHODI ZA VIJEĆE '!H67</f>
        <v>1698.0500000000002</v>
      </c>
      <c r="K50" s="301">
        <f t="shared" si="9"/>
        <v>6.4865535946214381</v>
      </c>
      <c r="L50" s="301">
        <f t="shared" si="10"/>
        <v>1</v>
      </c>
      <c r="M50" s="301">
        <f t="shared" si="8"/>
        <v>0.84902500000000014</v>
      </c>
    </row>
    <row r="51" spans="1:14" ht="20.25" x14ac:dyDescent="0.3">
      <c r="A51" s="297"/>
      <c r="B51" s="297"/>
      <c r="C51" s="298"/>
      <c r="D51" s="298">
        <v>6532</v>
      </c>
      <c r="E51" s="298" t="s">
        <v>1037</v>
      </c>
      <c r="F51" s="300">
        <f>SUM('PRIHODI ZA VIJEĆE '!D68)</f>
        <v>18832.39</v>
      </c>
      <c r="G51" s="300">
        <f>SUM('PRIHODI ZA VIJEĆE '!E68)</f>
        <v>37773.07</v>
      </c>
      <c r="H51" s="300">
        <f>SUM('PRIHODI ZA VIJEĆE '!F68)</f>
        <v>0</v>
      </c>
      <c r="I51" s="300">
        <f>SUM('PRIHODI ZA VIJEĆE '!G68)</f>
        <v>41000</v>
      </c>
      <c r="J51" s="300">
        <f>SUM('PRIHODI ZA VIJEĆE '!H68)</f>
        <v>37773.07</v>
      </c>
      <c r="K51" s="301">
        <f t="shared" si="9"/>
        <v>2.0057501995232681</v>
      </c>
      <c r="L51" s="301">
        <f t="shared" si="10"/>
        <v>1</v>
      </c>
      <c r="M51" s="301">
        <f t="shared" si="8"/>
        <v>0.92129439024390247</v>
      </c>
    </row>
    <row r="52" spans="1:14" s="305" customFormat="1" ht="20.25" x14ac:dyDescent="0.3">
      <c r="A52" s="304"/>
      <c r="B52" s="304">
        <v>66</v>
      </c>
      <c r="C52" s="304"/>
      <c r="D52" s="280"/>
      <c r="E52" s="280" t="s">
        <v>47</v>
      </c>
      <c r="F52" s="281">
        <f>SUM(F53+F56)</f>
        <v>3396.5699999999997</v>
      </c>
      <c r="G52" s="281">
        <f>SUM(G53+G56)</f>
        <v>4351.62</v>
      </c>
      <c r="H52" s="281">
        <f>SUM(H53+H56)</f>
        <v>18000</v>
      </c>
      <c r="I52" s="281">
        <f>SUM(I53+I56)</f>
        <v>20000</v>
      </c>
      <c r="J52" s="281">
        <f>SUM(J53+J56)</f>
        <v>4351.62</v>
      </c>
      <c r="K52" s="282">
        <f>IFERROR(SUM(J52/F52),0)</f>
        <v>1.2811807205504377</v>
      </c>
      <c r="L52" s="282">
        <f>IFERROR(SUM(J52/G52),0)</f>
        <v>1</v>
      </c>
      <c r="M52" s="282">
        <f t="shared" si="8"/>
        <v>0.217581</v>
      </c>
    </row>
    <row r="53" spans="1:14" s="305" customFormat="1" ht="20.25" x14ac:dyDescent="0.3">
      <c r="A53" s="304"/>
      <c r="B53" s="304"/>
      <c r="C53" s="280">
        <v>661</v>
      </c>
      <c r="D53" s="304"/>
      <c r="E53" s="280" t="s">
        <v>48</v>
      </c>
      <c r="F53" s="281">
        <f>SUM(F54:F55)</f>
        <v>3396.5699999999997</v>
      </c>
      <c r="G53" s="281">
        <f>SUM('PRIHODI ZA VIJEĆE '!E70)</f>
        <v>4351.62</v>
      </c>
      <c r="H53" s="281">
        <f>SUM('PRIHODI ZA VIJEĆE '!F70)</f>
        <v>14000</v>
      </c>
      <c r="I53" s="281">
        <f>SUM('PRIHODI ZA VIJEĆE '!G70)</f>
        <v>16000</v>
      </c>
      <c r="J53" s="281">
        <f>SUM('PRIHODI ZA VIJEĆE '!H70)</f>
        <v>4351.62</v>
      </c>
      <c r="K53" s="282">
        <f>IFERROR(SUM(J53/F53),0)</f>
        <v>1.2811807205504377</v>
      </c>
      <c r="L53" s="282">
        <f>IFERROR(SUM(J53/G53),0)</f>
        <v>1</v>
      </c>
      <c r="M53" s="282">
        <f t="shared" si="8"/>
        <v>0.27197624999999997</v>
      </c>
    </row>
    <row r="54" spans="1:14" ht="20.25" x14ac:dyDescent="0.3">
      <c r="A54" s="297"/>
      <c r="B54" s="297"/>
      <c r="C54" s="298"/>
      <c r="D54" s="297">
        <v>6614</v>
      </c>
      <c r="E54" s="298" t="s">
        <v>1038</v>
      </c>
      <c r="F54" s="300">
        <f>SUM('PRIHODI ZA VIJEĆE '!D71)</f>
        <v>864.85</v>
      </c>
      <c r="G54" s="300">
        <f>SUM('PRIHODI ZA VIJEĆE '!E71)</f>
        <v>1819.9</v>
      </c>
      <c r="H54" s="300">
        <f>SUM('PRIHODI ZA VIJEĆE '!F71)</f>
        <v>0</v>
      </c>
      <c r="I54" s="300">
        <f>SUM('PRIHODI ZA VIJEĆE '!G71)</f>
        <v>2000</v>
      </c>
      <c r="J54" s="300">
        <f>SUM('PRIHODI ZA VIJEĆE '!H71)</f>
        <v>1819.9</v>
      </c>
      <c r="K54" s="301">
        <f t="shared" ref="K54:K60" si="11">IFERROR(SUM(J54/F54),0)</f>
        <v>2.1042955425796381</v>
      </c>
      <c r="L54" s="301">
        <f t="shared" ref="L54:L60" si="12">IFERROR(SUM(J54/G54),0)</f>
        <v>1</v>
      </c>
      <c r="M54" s="301">
        <f t="shared" si="8"/>
        <v>0.90995000000000004</v>
      </c>
    </row>
    <row r="55" spans="1:14" ht="20.25" x14ac:dyDescent="0.3">
      <c r="A55" s="297"/>
      <c r="B55" s="297"/>
      <c r="C55" s="298"/>
      <c r="D55" s="297">
        <v>6615</v>
      </c>
      <c r="E55" s="298" t="s">
        <v>48</v>
      </c>
      <c r="F55" s="300">
        <f>SUM('PRIHODI ZA VIJEĆE '!D72)</f>
        <v>2531.7199999999998</v>
      </c>
      <c r="G55" s="300">
        <f>SUM('PRIHODI ZA VIJEĆE '!E72)</f>
        <v>2531.7199999999998</v>
      </c>
      <c r="H55" s="300">
        <f>SUM('PRIHODI ZA VIJEĆE '!F72)</f>
        <v>14000</v>
      </c>
      <c r="I55" s="300">
        <f>SUM('PRIHODI ZA VIJEĆE '!G72)</f>
        <v>14000</v>
      </c>
      <c r="J55" s="300">
        <f>SUM('PRIHODI ZA VIJEĆE '!H72)</f>
        <v>2531.7199999999998</v>
      </c>
      <c r="K55" s="301">
        <f t="shared" si="11"/>
        <v>1</v>
      </c>
      <c r="L55" s="301">
        <f t="shared" si="12"/>
        <v>1</v>
      </c>
      <c r="M55" s="301">
        <f t="shared" si="8"/>
        <v>0.18083714285714284</v>
      </c>
    </row>
    <row r="56" spans="1:14" s="305" customFormat="1" ht="20.25" x14ac:dyDescent="0.3">
      <c r="A56" s="304"/>
      <c r="B56" s="304"/>
      <c r="C56" s="280">
        <v>663</v>
      </c>
      <c r="D56" s="304"/>
      <c r="E56" s="280" t="s">
        <v>536</v>
      </c>
      <c r="F56" s="281">
        <f>SUM(F57)</f>
        <v>0</v>
      </c>
      <c r="G56" s="281">
        <f>SUM(G57)</f>
        <v>0</v>
      </c>
      <c r="H56" s="281">
        <f>SUM(H57)</f>
        <v>4000</v>
      </c>
      <c r="I56" s="281">
        <f>SUM(I57)</f>
        <v>4000</v>
      </c>
      <c r="J56" s="281">
        <f>SUM(J57)</f>
        <v>0</v>
      </c>
      <c r="K56" s="282">
        <f t="shared" si="11"/>
        <v>0</v>
      </c>
      <c r="L56" s="282">
        <f t="shared" si="12"/>
        <v>0</v>
      </c>
      <c r="M56" s="282">
        <f t="shared" si="8"/>
        <v>0</v>
      </c>
    </row>
    <row r="57" spans="1:14" ht="20.25" x14ac:dyDescent="0.3">
      <c r="A57" s="297"/>
      <c r="B57" s="297"/>
      <c r="C57" s="298"/>
      <c r="D57" s="297">
        <v>6631</v>
      </c>
      <c r="E57" s="298" t="s">
        <v>10</v>
      </c>
      <c r="F57" s="300">
        <f>SUM('PRIHODI ZA VIJEĆE '!D74)</f>
        <v>0</v>
      </c>
      <c r="G57" s="300">
        <f>SUM('PRIHODI ZA VIJEĆE '!E74)</f>
        <v>0</v>
      </c>
      <c r="H57" s="300">
        <f>SUM('PRIHODI ZA VIJEĆE '!F74)</f>
        <v>4000</v>
      </c>
      <c r="I57" s="300">
        <f>SUM('PRIHODI ZA VIJEĆE '!G74)</f>
        <v>4000</v>
      </c>
      <c r="J57" s="300">
        <f>SUM('PRIHODI ZA VIJEĆE '!H74)</f>
        <v>0</v>
      </c>
      <c r="K57" s="285">
        <f t="shared" si="11"/>
        <v>0</v>
      </c>
      <c r="L57" s="285">
        <f t="shared" si="12"/>
        <v>0</v>
      </c>
      <c r="M57" s="285">
        <f t="shared" si="8"/>
        <v>0</v>
      </c>
    </row>
    <row r="58" spans="1:14" s="305" customFormat="1" ht="20.25" x14ac:dyDescent="0.3">
      <c r="A58" s="304"/>
      <c r="B58" s="304">
        <v>68</v>
      </c>
      <c r="C58" s="304"/>
      <c r="D58" s="280"/>
      <c r="E58" s="280" t="s">
        <v>726</v>
      </c>
      <c r="F58" s="281">
        <f>SUM(F59)</f>
        <v>12227.75</v>
      </c>
      <c r="G58" s="281">
        <f t="shared" ref="G58:J59" si="13">SUM(G59)</f>
        <v>12419.04</v>
      </c>
      <c r="H58" s="281">
        <f t="shared" si="13"/>
        <v>0</v>
      </c>
      <c r="I58" s="281">
        <f t="shared" si="13"/>
        <v>15000</v>
      </c>
      <c r="J58" s="281">
        <f t="shared" si="13"/>
        <v>12419.04</v>
      </c>
      <c r="K58" s="282">
        <f t="shared" si="11"/>
        <v>1.0156439246795199</v>
      </c>
      <c r="L58" s="282">
        <f t="shared" si="12"/>
        <v>1</v>
      </c>
      <c r="M58" s="282">
        <f t="shared" si="8"/>
        <v>0.82793600000000001</v>
      </c>
    </row>
    <row r="59" spans="1:14" s="305" customFormat="1" ht="20.25" x14ac:dyDescent="0.3">
      <c r="A59" s="304"/>
      <c r="B59" s="304"/>
      <c r="C59" s="280">
        <v>683</v>
      </c>
      <c r="D59" s="304"/>
      <c r="E59" s="280" t="s">
        <v>727</v>
      </c>
      <c r="F59" s="281">
        <f>SUM(F60)</f>
        <v>12227.75</v>
      </c>
      <c r="G59" s="281">
        <f t="shared" si="13"/>
        <v>12419.04</v>
      </c>
      <c r="H59" s="281">
        <f t="shared" si="13"/>
        <v>0</v>
      </c>
      <c r="I59" s="281">
        <f t="shared" si="13"/>
        <v>15000</v>
      </c>
      <c r="J59" s="281">
        <f t="shared" si="13"/>
        <v>12419.04</v>
      </c>
      <c r="K59" s="282">
        <f t="shared" si="11"/>
        <v>1.0156439246795199</v>
      </c>
      <c r="L59" s="282">
        <f t="shared" si="12"/>
        <v>1</v>
      </c>
      <c r="M59" s="282">
        <f t="shared" si="8"/>
        <v>0.82793600000000001</v>
      </c>
    </row>
    <row r="60" spans="1:14" ht="20.25" x14ac:dyDescent="0.3">
      <c r="A60" s="297"/>
      <c r="B60" s="297"/>
      <c r="C60" s="298"/>
      <c r="D60" s="297">
        <v>6831</v>
      </c>
      <c r="E60" s="298" t="s">
        <v>727</v>
      </c>
      <c r="F60" s="300">
        <f>SUM('PRIHODI ZA VIJEĆE '!D77)</f>
        <v>12227.75</v>
      </c>
      <c r="G60" s="300">
        <f>SUM('PRIHODI ZA VIJEĆE '!E77)</f>
        <v>12419.04</v>
      </c>
      <c r="H60" s="300">
        <f>SUM('PRIHODI ZA VIJEĆE '!F77)</f>
        <v>0</v>
      </c>
      <c r="I60" s="300">
        <f>SUM('PRIHODI ZA VIJEĆE '!G77)</f>
        <v>15000</v>
      </c>
      <c r="J60" s="300">
        <f>SUM('PRIHODI ZA VIJEĆE '!H77)</f>
        <v>12419.04</v>
      </c>
      <c r="K60" s="301">
        <f t="shared" si="11"/>
        <v>1.0156439246795199</v>
      </c>
      <c r="L60" s="301">
        <f t="shared" si="12"/>
        <v>1</v>
      </c>
      <c r="M60" s="301">
        <f t="shared" si="8"/>
        <v>0.82793600000000001</v>
      </c>
    </row>
    <row r="61" spans="1:14" ht="20.25" x14ac:dyDescent="0.3">
      <c r="A61" s="61"/>
      <c r="B61" s="61"/>
      <c r="C61" s="89"/>
      <c r="D61" s="61"/>
      <c r="E61" s="89"/>
      <c r="F61" s="290"/>
      <c r="G61" s="290"/>
      <c r="H61" s="290"/>
      <c r="I61" s="290"/>
      <c r="J61" s="290"/>
      <c r="K61" s="291"/>
      <c r="L61" s="291"/>
      <c r="M61" s="291"/>
      <c r="N61" s="61"/>
    </row>
    <row r="62" spans="1:14" s="305" customFormat="1" ht="20.25" x14ac:dyDescent="0.3">
      <c r="A62" s="304">
        <v>7</v>
      </c>
      <c r="B62" s="304"/>
      <c r="C62" s="304"/>
      <c r="D62" s="280">
        <v>7</v>
      </c>
      <c r="E62" s="280" t="s">
        <v>17</v>
      </c>
      <c r="F62" s="281">
        <f>SUM(F63,F66)</f>
        <v>3692.19</v>
      </c>
      <c r="G62" s="281">
        <f>SUM(G63,G66)</f>
        <v>46437.3</v>
      </c>
      <c r="H62" s="281">
        <f>SUM(H63,H66)</f>
        <v>40500</v>
      </c>
      <c r="I62" s="281">
        <f>SUM(I63,I66)</f>
        <v>50000</v>
      </c>
      <c r="J62" s="281">
        <f>SUM(J63,J66)</f>
        <v>46437.3</v>
      </c>
      <c r="K62" s="282">
        <f t="shared" ref="K62:K68" si="14">IFERROR(SUM(J62/F62),0)</f>
        <v>12.577169647282508</v>
      </c>
      <c r="L62" s="282">
        <f t="shared" ref="L62:L68" si="15">IFERROR(SUM(J62/G62),0)</f>
        <v>1</v>
      </c>
      <c r="M62" s="282">
        <f t="shared" ref="M62:M68" si="16">IFERROR(SUM(J62/I62),0)</f>
        <v>0.92874600000000007</v>
      </c>
      <c r="N62" s="310"/>
    </row>
    <row r="63" spans="1:14" s="305" customFormat="1" ht="20.25" x14ac:dyDescent="0.3">
      <c r="A63" s="304"/>
      <c r="B63" s="304">
        <v>71</v>
      </c>
      <c r="C63" s="304"/>
      <c r="D63" s="280"/>
      <c r="E63" s="280" t="s">
        <v>18</v>
      </c>
      <c r="F63" s="281">
        <f t="shared" ref="F63:J64" si="17">SUM(F64)</f>
        <v>3692.19</v>
      </c>
      <c r="G63" s="281">
        <f t="shared" si="17"/>
        <v>46437.3</v>
      </c>
      <c r="H63" s="281">
        <f t="shared" si="17"/>
        <v>40000</v>
      </c>
      <c r="I63" s="281">
        <f t="shared" si="17"/>
        <v>50000</v>
      </c>
      <c r="J63" s="281">
        <f t="shared" si="17"/>
        <v>46437.3</v>
      </c>
      <c r="K63" s="282">
        <f t="shared" si="14"/>
        <v>12.577169647282508</v>
      </c>
      <c r="L63" s="282">
        <f t="shared" si="15"/>
        <v>1</v>
      </c>
      <c r="M63" s="282">
        <f t="shared" si="16"/>
        <v>0.92874600000000007</v>
      </c>
      <c r="N63" s="310"/>
    </row>
    <row r="64" spans="1:14" s="305" customFormat="1" ht="20.25" x14ac:dyDescent="0.3">
      <c r="A64" s="304"/>
      <c r="B64" s="304"/>
      <c r="C64" s="280">
        <v>711</v>
      </c>
      <c r="D64" s="280"/>
      <c r="E64" s="280" t="s">
        <v>33</v>
      </c>
      <c r="F64" s="281">
        <f t="shared" si="17"/>
        <v>3692.19</v>
      </c>
      <c r="G64" s="281">
        <f t="shared" si="17"/>
        <v>46437.3</v>
      </c>
      <c r="H64" s="281">
        <f t="shared" si="17"/>
        <v>40000</v>
      </c>
      <c r="I64" s="281">
        <f t="shared" si="17"/>
        <v>50000</v>
      </c>
      <c r="J64" s="281">
        <f t="shared" si="17"/>
        <v>46437.3</v>
      </c>
      <c r="K64" s="282">
        <f t="shared" si="14"/>
        <v>12.577169647282508</v>
      </c>
      <c r="L64" s="282">
        <f t="shared" si="15"/>
        <v>1</v>
      </c>
      <c r="M64" s="282">
        <f t="shared" si="16"/>
        <v>0.92874600000000007</v>
      </c>
      <c r="N64" s="310"/>
    </row>
    <row r="65" spans="1:14" ht="20.25" x14ac:dyDescent="0.3">
      <c r="A65" s="297"/>
      <c r="B65" s="297"/>
      <c r="C65" s="298"/>
      <c r="D65" s="298">
        <v>7111</v>
      </c>
      <c r="E65" s="298" t="s">
        <v>40</v>
      </c>
      <c r="F65" s="300">
        <f>SUM('PRIHODI ZA VIJEĆE '!D80)</f>
        <v>3692.19</v>
      </c>
      <c r="G65" s="300">
        <f>SUM('PRIHODI ZA VIJEĆE '!E80)</f>
        <v>46437.3</v>
      </c>
      <c r="H65" s="300">
        <f>SUM('PRIHODI ZA VIJEĆE '!F80)</f>
        <v>40000</v>
      </c>
      <c r="I65" s="300">
        <f>SUM('PRIHODI ZA VIJEĆE '!G80)</f>
        <v>50000</v>
      </c>
      <c r="J65" s="300">
        <f>SUM('PRIHODI ZA VIJEĆE '!H80)</f>
        <v>46437.3</v>
      </c>
      <c r="K65" s="301">
        <f t="shared" si="14"/>
        <v>12.577169647282508</v>
      </c>
      <c r="L65" s="301">
        <f t="shared" si="15"/>
        <v>1</v>
      </c>
      <c r="M65" s="301">
        <f t="shared" si="16"/>
        <v>0.92874600000000007</v>
      </c>
      <c r="N65" s="61"/>
    </row>
    <row r="66" spans="1:14" s="305" customFormat="1" ht="20.25" x14ac:dyDescent="0.3">
      <c r="A66" s="304"/>
      <c r="B66" s="280">
        <v>72</v>
      </c>
      <c r="C66" s="304"/>
      <c r="D66" s="280"/>
      <c r="E66" s="280" t="s">
        <v>19</v>
      </c>
      <c r="F66" s="281">
        <f t="shared" ref="F66:J67" si="18">SUM(F67)</f>
        <v>0</v>
      </c>
      <c r="G66" s="281">
        <f t="shared" si="18"/>
        <v>0</v>
      </c>
      <c r="H66" s="281">
        <f t="shared" si="18"/>
        <v>500</v>
      </c>
      <c r="I66" s="281">
        <f t="shared" si="18"/>
        <v>0</v>
      </c>
      <c r="J66" s="281">
        <f t="shared" si="18"/>
        <v>0</v>
      </c>
      <c r="K66" s="282">
        <f t="shared" si="14"/>
        <v>0</v>
      </c>
      <c r="L66" s="282">
        <f t="shared" si="15"/>
        <v>0</v>
      </c>
      <c r="M66" s="282">
        <f t="shared" si="16"/>
        <v>0</v>
      </c>
      <c r="N66" s="310"/>
    </row>
    <row r="67" spans="1:14" s="305" customFormat="1" ht="20.25" x14ac:dyDescent="0.3">
      <c r="A67" s="304"/>
      <c r="B67" s="304"/>
      <c r="C67" s="280">
        <v>721</v>
      </c>
      <c r="D67" s="280"/>
      <c r="E67" s="280" t="s">
        <v>35</v>
      </c>
      <c r="F67" s="281">
        <f t="shared" si="18"/>
        <v>0</v>
      </c>
      <c r="G67" s="281">
        <f t="shared" si="18"/>
        <v>0</v>
      </c>
      <c r="H67" s="281">
        <f t="shared" si="18"/>
        <v>500</v>
      </c>
      <c r="I67" s="281">
        <f t="shared" si="18"/>
        <v>0</v>
      </c>
      <c r="J67" s="281">
        <f t="shared" si="18"/>
        <v>0</v>
      </c>
      <c r="K67" s="282">
        <f t="shared" si="14"/>
        <v>0</v>
      </c>
      <c r="L67" s="282">
        <f t="shared" si="15"/>
        <v>0</v>
      </c>
      <c r="M67" s="282">
        <f t="shared" si="16"/>
        <v>0</v>
      </c>
      <c r="N67" s="310"/>
    </row>
    <row r="68" spans="1:14" ht="20.25" x14ac:dyDescent="0.3">
      <c r="A68" s="297"/>
      <c r="B68" s="297"/>
      <c r="C68" s="298"/>
      <c r="D68" s="298">
        <v>7211</v>
      </c>
      <c r="E68" s="298" t="s">
        <v>1041</v>
      </c>
      <c r="F68" s="300">
        <f>SUM('PRIHODI ZA VIJEĆE '!D83)</f>
        <v>0</v>
      </c>
      <c r="G68" s="300">
        <f>SUM('PRIHODI ZA VIJEĆE '!E83)</f>
        <v>0</v>
      </c>
      <c r="H68" s="300">
        <f>SUM('PRIHODI ZA VIJEĆE '!F83)</f>
        <v>500</v>
      </c>
      <c r="I68" s="300">
        <f>SUM('PRIHODI ZA VIJEĆE '!G83)</f>
        <v>0</v>
      </c>
      <c r="J68" s="300">
        <f>SUM('PRIHODI ZA VIJEĆE '!H83)</f>
        <v>0</v>
      </c>
      <c r="K68" s="301">
        <f t="shared" si="14"/>
        <v>0</v>
      </c>
      <c r="L68" s="301">
        <f t="shared" si="15"/>
        <v>0</v>
      </c>
      <c r="M68" s="301">
        <f t="shared" si="16"/>
        <v>0</v>
      </c>
      <c r="N68" s="61"/>
    </row>
    <row r="69" spans="1:14" ht="20.25" x14ac:dyDescent="0.3">
      <c r="A69" s="61"/>
      <c r="B69" s="61"/>
      <c r="C69" s="61"/>
      <c r="D69" s="61"/>
      <c r="E69" s="61"/>
      <c r="F69" s="89"/>
      <c r="G69" s="89"/>
      <c r="H69" s="89"/>
      <c r="I69" s="290"/>
      <c r="J69" s="290"/>
      <c r="K69" s="309"/>
      <c r="L69" s="61"/>
      <c r="M69" s="61"/>
      <c r="N69" s="61"/>
    </row>
    <row r="70" spans="1:14" ht="60.75" x14ac:dyDescent="0.3">
      <c r="A70" s="458" t="s">
        <v>1039</v>
      </c>
      <c r="B70" s="458"/>
      <c r="C70" s="458"/>
      <c r="D70" s="458"/>
      <c r="E70" s="458"/>
      <c r="F70" s="276" t="s">
        <v>1014</v>
      </c>
      <c r="G70" s="276" t="s">
        <v>1015</v>
      </c>
      <c r="H70" s="276" t="s">
        <v>1013</v>
      </c>
      <c r="I70" s="276" t="s">
        <v>979</v>
      </c>
      <c r="J70" s="276" t="s">
        <v>1112</v>
      </c>
      <c r="K70" s="277" t="s">
        <v>1011</v>
      </c>
      <c r="L70" s="277" t="s">
        <v>1009</v>
      </c>
      <c r="M70" s="277" t="s">
        <v>1012</v>
      </c>
      <c r="N70" s="61"/>
    </row>
    <row r="71" spans="1:14" ht="20.25" x14ac:dyDescent="0.3">
      <c r="A71" s="459">
        <v>1</v>
      </c>
      <c r="B71" s="459"/>
      <c r="C71" s="459"/>
      <c r="D71" s="459"/>
      <c r="E71" s="459"/>
      <c r="F71" s="295">
        <v>2</v>
      </c>
      <c r="G71" s="296">
        <v>3</v>
      </c>
      <c r="H71" s="295">
        <v>4</v>
      </c>
      <c r="I71" s="295">
        <v>5</v>
      </c>
      <c r="J71" s="295">
        <v>6</v>
      </c>
      <c r="K71" s="295"/>
      <c r="L71" s="295"/>
      <c r="M71" s="295"/>
      <c r="N71" s="61"/>
    </row>
    <row r="72" spans="1:14" s="315" customFormat="1" ht="20.25" x14ac:dyDescent="0.3">
      <c r="A72" s="313"/>
      <c r="B72" s="313"/>
      <c r="C72" s="313"/>
      <c r="D72" s="280"/>
      <c r="E72" s="280" t="s">
        <v>1061</v>
      </c>
      <c r="F72" s="281">
        <f>SUM(F73+F139)</f>
        <v>1070603.96</v>
      </c>
      <c r="G72" s="281">
        <f>SUM(G73+G139)</f>
        <v>2626339.5499999998</v>
      </c>
      <c r="H72" s="281">
        <f>SUM(H73+H139)</f>
        <v>4135000</v>
      </c>
      <c r="I72" s="281">
        <f>SUM(I73+I139)</f>
        <v>3074200</v>
      </c>
      <c r="J72" s="281">
        <f>SUM(J73+J139)</f>
        <v>2626339.5499999998</v>
      </c>
      <c r="K72" s="282">
        <f>IFERROR(SUM(J72/F72),0)</f>
        <v>2.4531382734657545</v>
      </c>
      <c r="L72" s="282">
        <f>IFERROR(SUM(J72/G72),0)</f>
        <v>1</v>
      </c>
      <c r="M72" s="282">
        <f t="shared" ref="M72:M103" si="19">IFERROR(SUM(J72/I72),0)</f>
        <v>0.85431642378504968</v>
      </c>
      <c r="N72" s="314"/>
    </row>
    <row r="73" spans="1:14" s="305" customFormat="1" ht="20.25" x14ac:dyDescent="0.3">
      <c r="A73" s="304">
        <v>3</v>
      </c>
      <c r="B73" s="304"/>
      <c r="C73" s="304"/>
      <c r="D73" s="280"/>
      <c r="E73" s="280" t="s">
        <v>20</v>
      </c>
      <c r="F73" s="281">
        <f>SUM(F74+F82+F112+F117+F120+F126+F130)</f>
        <v>905923.29999999993</v>
      </c>
      <c r="G73" s="281">
        <f>SUM(G74+G82+G112+G117+G120+G126+G130)</f>
        <v>1974439.8899999997</v>
      </c>
      <c r="H73" s="281">
        <f>SUM(H74+H82+H112+H117+H120+H126+H130)</f>
        <v>2511500</v>
      </c>
      <c r="I73" s="281">
        <f>SUM(I74+I82+I112+I117+I120+I126+I130)</f>
        <v>2322700</v>
      </c>
      <c r="J73" s="281">
        <f>SUM(J74+J82+J112+J117+J120+J126+J130)</f>
        <v>1974439.8899999997</v>
      </c>
      <c r="K73" s="282">
        <f>IFERROR(SUM(J73/F73),0)</f>
        <v>2.1794779867125613</v>
      </c>
      <c r="L73" s="282">
        <f>IFERROR(SUM(J73/G73),0)</f>
        <v>1</v>
      </c>
      <c r="M73" s="282">
        <f t="shared" si="19"/>
        <v>0.85006237998880596</v>
      </c>
      <c r="N73" s="310"/>
    </row>
    <row r="74" spans="1:14" s="305" customFormat="1" ht="20.25" x14ac:dyDescent="0.3">
      <c r="A74" s="304"/>
      <c r="B74" s="304">
        <v>31</v>
      </c>
      <c r="C74" s="304"/>
      <c r="D74" s="280"/>
      <c r="E74" s="280" t="s">
        <v>0</v>
      </c>
      <c r="F74" s="281">
        <f>SUM(F75+F77+F79)</f>
        <v>150146.29999999999</v>
      </c>
      <c r="G74" s="281">
        <f>SUM(G75+G77+G79)</f>
        <v>221116.62</v>
      </c>
      <c r="H74" s="281">
        <f>SUM(H75+H77+H79)</f>
        <v>384000</v>
      </c>
      <c r="I74" s="281">
        <f>SUM(I75+I77+I79)</f>
        <v>271400</v>
      </c>
      <c r="J74" s="281">
        <f>SUM(J75+J77+J79)</f>
        <v>221116.62</v>
      </c>
      <c r="K74" s="282">
        <f>IFERROR(SUM(J74/F74),0)</f>
        <v>1.4726744515182859</v>
      </c>
      <c r="L74" s="282">
        <f>IFERROR(SUM(J74/G74),0)</f>
        <v>1</v>
      </c>
      <c r="M74" s="282">
        <f t="shared" si="19"/>
        <v>0.81472593957258654</v>
      </c>
      <c r="N74" s="310"/>
    </row>
    <row r="75" spans="1:14" s="305" customFormat="1" ht="20.25" x14ac:dyDescent="0.3">
      <c r="A75" s="304"/>
      <c r="B75" s="304"/>
      <c r="C75" s="304">
        <v>311</v>
      </c>
      <c r="D75" s="280"/>
      <c r="E75" s="280" t="s">
        <v>5</v>
      </c>
      <c r="F75" s="281">
        <f>SUM(F76)</f>
        <v>98718.209999999992</v>
      </c>
      <c r="G75" s="281">
        <f>SUM(G76)</f>
        <v>144838.03</v>
      </c>
      <c r="H75" s="281">
        <f>SUM(H76)</f>
        <v>226000</v>
      </c>
      <c r="I75" s="281">
        <f>SUM(I76)</f>
        <v>169200</v>
      </c>
      <c r="J75" s="281">
        <f>SUM(J76)</f>
        <v>144838.03</v>
      </c>
      <c r="K75" s="282">
        <f>IFERROR(SUM(J75/F75),0)</f>
        <v>1.4671865504854678</v>
      </c>
      <c r="L75" s="282">
        <f>IFERROR(SUM(J75/G75),0)</f>
        <v>1</v>
      </c>
      <c r="M75" s="282">
        <f t="shared" si="19"/>
        <v>0.85601672576832155</v>
      </c>
      <c r="N75" s="310"/>
    </row>
    <row r="76" spans="1:14" ht="20.25" x14ac:dyDescent="0.3">
      <c r="A76" s="297"/>
      <c r="B76" s="297"/>
      <c r="C76" s="297"/>
      <c r="D76" s="298">
        <v>3111</v>
      </c>
      <c r="E76" s="298" t="s">
        <v>72</v>
      </c>
      <c r="F76" s="300">
        <f>SUM('RASHODI ZA VIJEĆE'!E20)</f>
        <v>98718.209999999992</v>
      </c>
      <c r="G76" s="300">
        <f>SUM('RASHODI ZA VIJEĆE'!F20)</f>
        <v>144838.03</v>
      </c>
      <c r="H76" s="300">
        <f>SUM('RASHODI ZA VIJEĆE'!G20)</f>
        <v>226000</v>
      </c>
      <c r="I76" s="300">
        <f>SUM('RASHODI ZA VIJEĆE'!H20)</f>
        <v>169200</v>
      </c>
      <c r="J76" s="300">
        <f>SUM('RASHODI ZA VIJEĆE'!I20)</f>
        <v>144838.03</v>
      </c>
      <c r="K76" s="301">
        <f t="shared" ref="K76:K139" si="20">IFERROR(SUM(J76/F76),0)</f>
        <v>1.4671865504854678</v>
      </c>
      <c r="L76" s="301">
        <f t="shared" ref="L76:L139" si="21">IFERROR(SUM(J76/G76),0)</f>
        <v>1</v>
      </c>
      <c r="M76" s="301">
        <f t="shared" si="19"/>
        <v>0.85601672576832155</v>
      </c>
      <c r="N76" s="61"/>
    </row>
    <row r="77" spans="1:14" s="305" customFormat="1" ht="20.25" x14ac:dyDescent="0.3">
      <c r="A77" s="304"/>
      <c r="B77" s="304"/>
      <c r="C77" s="304">
        <v>312</v>
      </c>
      <c r="D77" s="280"/>
      <c r="E77" s="280" t="s">
        <v>4</v>
      </c>
      <c r="F77" s="281">
        <f>SUM(F78)</f>
        <v>6389.78</v>
      </c>
      <c r="G77" s="281">
        <f>SUM(G78)</f>
        <v>10211.560000000001</v>
      </c>
      <c r="H77" s="281">
        <f>SUM(H78)</f>
        <v>25000</v>
      </c>
      <c r="I77" s="281">
        <f>SUM(I78)</f>
        <v>18300</v>
      </c>
      <c r="J77" s="281">
        <f>SUM(J78)</f>
        <v>10211.560000000001</v>
      </c>
      <c r="K77" s="282">
        <f t="shared" si="20"/>
        <v>1.5981082290783097</v>
      </c>
      <c r="L77" s="282">
        <f t="shared" si="21"/>
        <v>1</v>
      </c>
      <c r="M77" s="282">
        <f t="shared" si="19"/>
        <v>0.55800874316939897</v>
      </c>
      <c r="N77" s="310"/>
    </row>
    <row r="78" spans="1:14" ht="20.25" x14ac:dyDescent="0.3">
      <c r="A78" s="297"/>
      <c r="B78" s="297"/>
      <c r="C78" s="297"/>
      <c r="D78" s="298">
        <v>3121</v>
      </c>
      <c r="E78" s="298" t="s">
        <v>4</v>
      </c>
      <c r="F78" s="300">
        <f>SUM('RASHODI ZA VIJEĆE'!E25)</f>
        <v>6389.78</v>
      </c>
      <c r="G78" s="300">
        <f>SUM('RASHODI ZA VIJEĆE'!F25)</f>
        <v>10211.560000000001</v>
      </c>
      <c r="H78" s="300">
        <f>SUM('RASHODI ZA VIJEĆE'!G25)</f>
        <v>25000</v>
      </c>
      <c r="I78" s="300">
        <f>SUM('RASHODI ZA VIJEĆE'!H25)</f>
        <v>18300</v>
      </c>
      <c r="J78" s="300">
        <f>SUM('RASHODI ZA VIJEĆE'!I25)</f>
        <v>10211.560000000001</v>
      </c>
      <c r="K78" s="301">
        <f t="shared" si="20"/>
        <v>1.5981082290783097</v>
      </c>
      <c r="L78" s="301">
        <f t="shared" si="21"/>
        <v>1</v>
      </c>
      <c r="M78" s="301">
        <f t="shared" si="19"/>
        <v>0.55800874316939897</v>
      </c>
      <c r="N78" s="61"/>
    </row>
    <row r="79" spans="1:14" s="305" customFormat="1" ht="20.25" x14ac:dyDescent="0.3">
      <c r="A79" s="304"/>
      <c r="B79" s="304"/>
      <c r="C79" s="304">
        <v>313</v>
      </c>
      <c r="D79" s="280"/>
      <c r="E79" s="280" t="s">
        <v>36</v>
      </c>
      <c r="F79" s="281">
        <f>SUM(F80:F81)</f>
        <v>45038.31</v>
      </c>
      <c r="G79" s="281">
        <f>SUM(G80:G81)</f>
        <v>66067.03</v>
      </c>
      <c r="H79" s="281">
        <f>SUM(H80:H81)</f>
        <v>133000</v>
      </c>
      <c r="I79" s="281">
        <f>SUM(I80:I81)</f>
        <v>83900</v>
      </c>
      <c r="J79" s="281">
        <f>SUM(J80:J81)</f>
        <v>66067.03</v>
      </c>
      <c r="K79" s="282">
        <f t="shared" si="20"/>
        <v>1.4669073950598945</v>
      </c>
      <c r="L79" s="282">
        <f t="shared" si="21"/>
        <v>1</v>
      </c>
      <c r="M79" s="282">
        <f t="shared" si="19"/>
        <v>0.78744970202622167</v>
      </c>
      <c r="N79" s="310"/>
    </row>
    <row r="80" spans="1:14" ht="20.25" x14ac:dyDescent="0.3">
      <c r="A80" s="297"/>
      <c r="B80" s="297"/>
      <c r="C80" s="297"/>
      <c r="D80" s="298">
        <v>3131</v>
      </c>
      <c r="E80" s="298" t="s">
        <v>74</v>
      </c>
      <c r="F80" s="300">
        <f>SUM('RASHODI ZA VIJEĆE'!E33)</f>
        <v>24678.559999999998</v>
      </c>
      <c r="G80" s="300">
        <f>SUM('RASHODI ZA VIJEĆE'!F33)</f>
        <v>36196.99</v>
      </c>
      <c r="H80" s="300">
        <f>SUM('RASHODI ZA VIJEĆE'!G33)</f>
        <v>66000</v>
      </c>
      <c r="I80" s="300">
        <f>SUM('RASHODI ZA VIJEĆE'!H33)</f>
        <v>48100</v>
      </c>
      <c r="J80" s="300">
        <f>SUM('RASHODI ZA VIJEĆE'!I33)</f>
        <v>36196.99</v>
      </c>
      <c r="K80" s="301">
        <f t="shared" si="20"/>
        <v>1.4667383348137006</v>
      </c>
      <c r="L80" s="301">
        <f t="shared" si="21"/>
        <v>1</v>
      </c>
      <c r="M80" s="301">
        <f t="shared" si="19"/>
        <v>0.75253617463617462</v>
      </c>
      <c r="N80" s="61"/>
    </row>
    <row r="81" spans="1:14" ht="20.25" x14ac:dyDescent="0.3">
      <c r="A81" s="297"/>
      <c r="B81" s="297"/>
      <c r="C81" s="297"/>
      <c r="D81" s="298">
        <v>3132</v>
      </c>
      <c r="E81" s="298" t="s">
        <v>1043</v>
      </c>
      <c r="F81" s="300">
        <f>SUM('RASHODI ZA VIJEĆE'!E40)</f>
        <v>20359.75</v>
      </c>
      <c r="G81" s="300">
        <f>SUM('RASHODI ZA VIJEĆE'!F40)</f>
        <v>29870.04</v>
      </c>
      <c r="H81" s="300">
        <f>SUM('RASHODI ZA VIJEĆE'!G40)</f>
        <v>67000</v>
      </c>
      <c r="I81" s="300">
        <f>SUM('RASHODI ZA VIJEĆE'!H40)</f>
        <v>35800</v>
      </c>
      <c r="J81" s="300">
        <f>SUM('RASHODI ZA VIJEĆE'!I40)</f>
        <v>29870.04</v>
      </c>
      <c r="K81" s="301">
        <f t="shared" si="20"/>
        <v>1.4671123171944647</v>
      </c>
      <c r="L81" s="301">
        <f t="shared" si="21"/>
        <v>1</v>
      </c>
      <c r="M81" s="301">
        <f t="shared" si="19"/>
        <v>0.83435865921787711</v>
      </c>
      <c r="N81" s="61"/>
    </row>
    <row r="82" spans="1:14" s="305" customFormat="1" ht="20.25" x14ac:dyDescent="0.3">
      <c r="A82" s="304"/>
      <c r="B82" s="304">
        <v>32</v>
      </c>
      <c r="C82" s="304"/>
      <c r="D82" s="280"/>
      <c r="E82" s="280" t="s">
        <v>3</v>
      </c>
      <c r="F82" s="281">
        <f>SUM(F83+F88+F94+F104)</f>
        <v>390930.28000000009</v>
      </c>
      <c r="G82" s="281">
        <f>SUM(G83+G88+G94+G104)</f>
        <v>995759.59999999986</v>
      </c>
      <c r="H82" s="281">
        <f>SUM(H83+H88+H94+H104)</f>
        <v>1330500</v>
      </c>
      <c r="I82" s="281">
        <f>SUM(I83+I88+I94+I104)</f>
        <v>1227600</v>
      </c>
      <c r="J82" s="281">
        <f>SUM(J83+J88+J94+J104)</f>
        <v>995759.59999999986</v>
      </c>
      <c r="K82" s="282">
        <f t="shared" si="20"/>
        <v>2.5471539324096351</v>
      </c>
      <c r="L82" s="282">
        <f t="shared" si="21"/>
        <v>1</v>
      </c>
      <c r="M82" s="282">
        <f t="shared" si="19"/>
        <v>0.81114336917562713</v>
      </c>
      <c r="N82" s="310"/>
    </row>
    <row r="83" spans="1:14" s="305" customFormat="1" ht="20.25" x14ac:dyDescent="0.3">
      <c r="A83" s="304"/>
      <c r="B83" s="304"/>
      <c r="C83" s="304">
        <v>321</v>
      </c>
      <c r="D83" s="280"/>
      <c r="E83" s="280" t="s">
        <v>1</v>
      </c>
      <c r="F83" s="281">
        <f>SUM(F84:F87)</f>
        <v>4433.29</v>
      </c>
      <c r="G83" s="281">
        <f>SUM(G84:G87)</f>
        <v>10126.35</v>
      </c>
      <c r="H83" s="281">
        <f>SUM(H84:H87)</f>
        <v>29000</v>
      </c>
      <c r="I83" s="281">
        <f>SUM(I84:I87)</f>
        <v>20600</v>
      </c>
      <c r="J83" s="281">
        <f>SUM(J84:J87)</f>
        <v>10126.35</v>
      </c>
      <c r="K83" s="282">
        <f t="shared" si="20"/>
        <v>2.2841614241342207</v>
      </c>
      <c r="L83" s="282">
        <f t="shared" si="21"/>
        <v>1</v>
      </c>
      <c r="M83" s="282">
        <f t="shared" si="19"/>
        <v>0.49157038834951455</v>
      </c>
      <c r="N83" s="310"/>
    </row>
    <row r="84" spans="1:14" ht="20.25" x14ac:dyDescent="0.3">
      <c r="A84" s="297"/>
      <c r="B84" s="297"/>
      <c r="C84" s="297"/>
      <c r="D84" s="298">
        <v>3211</v>
      </c>
      <c r="E84" s="298" t="s">
        <v>70</v>
      </c>
      <c r="F84" s="300">
        <f>SUM('RASHODI ZA VIJEĆE'!E46)</f>
        <v>215.15</v>
      </c>
      <c r="G84" s="300">
        <f>SUM('RASHODI ZA VIJEĆE'!F46)</f>
        <v>773.63</v>
      </c>
      <c r="H84" s="300">
        <f>SUM('RASHODI ZA VIJEĆE'!G46)</f>
        <v>3500</v>
      </c>
      <c r="I84" s="300">
        <f>SUM('RASHODI ZA VIJEĆE'!H46)</f>
        <v>3000</v>
      </c>
      <c r="J84" s="300">
        <f>SUM('RASHODI ZA VIJEĆE'!I46)</f>
        <v>773.63</v>
      </c>
      <c r="K84" s="301">
        <f t="shared" si="20"/>
        <v>3.5957703927492446</v>
      </c>
      <c r="L84" s="301">
        <f t="shared" si="21"/>
        <v>1</v>
      </c>
      <c r="M84" s="301">
        <f t="shared" si="19"/>
        <v>0.25787666666666664</v>
      </c>
      <c r="N84" s="61"/>
    </row>
    <row r="85" spans="1:14" ht="20.25" x14ac:dyDescent="0.3">
      <c r="A85" s="297"/>
      <c r="B85" s="297"/>
      <c r="C85" s="297"/>
      <c r="D85" s="298">
        <v>3212</v>
      </c>
      <c r="E85" s="298" t="s">
        <v>171</v>
      </c>
      <c r="F85" s="300">
        <f>SUM('RASHODI ZA VIJEĆE'!E52)</f>
        <v>221.8</v>
      </c>
      <c r="G85" s="300">
        <f>SUM('RASHODI ZA VIJEĆE'!F52)</f>
        <v>520.46</v>
      </c>
      <c r="H85" s="300">
        <f>SUM('RASHODI ZA VIJEĆE'!G52)</f>
        <v>1500</v>
      </c>
      <c r="I85" s="300">
        <f>SUM('RASHODI ZA VIJEĆE'!H52)</f>
        <v>600</v>
      </c>
      <c r="J85" s="300">
        <f>SUM('RASHODI ZA VIJEĆE'!I52)</f>
        <v>520.46</v>
      </c>
      <c r="K85" s="301">
        <f t="shared" si="20"/>
        <v>2.3465284039675383</v>
      </c>
      <c r="L85" s="301">
        <f t="shared" si="21"/>
        <v>1</v>
      </c>
      <c r="M85" s="301">
        <f t="shared" si="19"/>
        <v>0.86743333333333339</v>
      </c>
      <c r="N85" s="61"/>
    </row>
    <row r="86" spans="1:14" ht="20.25" x14ac:dyDescent="0.3">
      <c r="A86" s="297"/>
      <c r="B86" s="297"/>
      <c r="C86" s="297"/>
      <c r="D86" s="298">
        <v>3213</v>
      </c>
      <c r="E86" s="298" t="s">
        <v>1044</v>
      </c>
      <c r="F86" s="300">
        <f>SUM('RASHODI ZA VIJEĆE'!E55)</f>
        <v>401.54</v>
      </c>
      <c r="G86" s="300">
        <f>SUM('RASHODI ZA VIJEĆE'!F55)</f>
        <v>1121.44</v>
      </c>
      <c r="H86" s="300">
        <f>SUM('RASHODI ZA VIJEĆE'!G55)</f>
        <v>14500</v>
      </c>
      <c r="I86" s="300">
        <f>SUM('RASHODI ZA VIJEĆE'!H55)</f>
        <v>5500</v>
      </c>
      <c r="J86" s="300">
        <f>SUM('RASHODI ZA VIJEĆE'!I55)</f>
        <v>1121.44</v>
      </c>
      <c r="K86" s="301">
        <f t="shared" si="20"/>
        <v>2.7928475369826171</v>
      </c>
      <c r="L86" s="301">
        <f t="shared" si="21"/>
        <v>1</v>
      </c>
      <c r="M86" s="301">
        <f t="shared" si="19"/>
        <v>0.20389818181818184</v>
      </c>
      <c r="N86" s="61"/>
    </row>
    <row r="87" spans="1:14" ht="20.25" x14ac:dyDescent="0.3">
      <c r="A87" s="297"/>
      <c r="B87" s="297"/>
      <c r="C87" s="297"/>
      <c r="D87" s="298">
        <v>3214</v>
      </c>
      <c r="E87" s="298" t="s">
        <v>1045</v>
      </c>
      <c r="F87" s="300">
        <f>SUM('RASHODI ZA VIJEĆE'!E60)</f>
        <v>3594.8</v>
      </c>
      <c r="G87" s="300">
        <f>SUM('RASHODI ZA VIJEĆE'!F60)</f>
        <v>7710.82</v>
      </c>
      <c r="H87" s="300">
        <f>SUM('RASHODI ZA VIJEĆE'!G60)</f>
        <v>9500</v>
      </c>
      <c r="I87" s="300">
        <f>SUM('RASHODI ZA VIJEĆE'!H60)</f>
        <v>11500</v>
      </c>
      <c r="J87" s="300">
        <f>SUM('RASHODI ZA VIJEĆE'!I60)</f>
        <v>7710.82</v>
      </c>
      <c r="K87" s="301">
        <f t="shared" si="20"/>
        <v>2.1449927673305886</v>
      </c>
      <c r="L87" s="301">
        <f t="shared" si="21"/>
        <v>1</v>
      </c>
      <c r="M87" s="301">
        <f t="shared" si="19"/>
        <v>0.6705060869565217</v>
      </c>
      <c r="N87" s="61"/>
    </row>
    <row r="88" spans="1:14" s="305" customFormat="1" ht="20.25" x14ac:dyDescent="0.3">
      <c r="A88" s="304"/>
      <c r="B88" s="304"/>
      <c r="C88" s="304">
        <v>322</v>
      </c>
      <c r="D88" s="280"/>
      <c r="E88" s="280" t="s">
        <v>6</v>
      </c>
      <c r="F88" s="281">
        <f>SUM(F89:F93)</f>
        <v>53242.85</v>
      </c>
      <c r="G88" s="281">
        <f>SUM(G89:G93)</f>
        <v>108847.98</v>
      </c>
      <c r="H88" s="281">
        <f>SUM(H89:H93)</f>
        <v>140500</v>
      </c>
      <c r="I88" s="281">
        <f>SUM(I89:I93)</f>
        <v>135300</v>
      </c>
      <c r="J88" s="281">
        <f>SUM(J89:J93)</f>
        <v>108847.98</v>
      </c>
      <c r="K88" s="282">
        <f t="shared" si="20"/>
        <v>2.0443680231242318</v>
      </c>
      <c r="L88" s="282">
        <f t="shared" si="21"/>
        <v>1</v>
      </c>
      <c r="M88" s="282">
        <f t="shared" si="19"/>
        <v>0.80449356984478937</v>
      </c>
      <c r="N88" s="310"/>
    </row>
    <row r="89" spans="1:14" ht="20.25" x14ac:dyDescent="0.3">
      <c r="A89" s="297"/>
      <c r="B89" s="297"/>
      <c r="C89" s="297"/>
      <c r="D89" s="298">
        <v>3221</v>
      </c>
      <c r="E89" s="298" t="s">
        <v>69</v>
      </c>
      <c r="F89" s="300">
        <f>SUM('RASHODI ZA VIJEĆE'!E65)</f>
        <v>11923.6</v>
      </c>
      <c r="G89" s="300">
        <f>SUM('RASHODI ZA VIJEĆE'!F65)</f>
        <v>20368.190000000002</v>
      </c>
      <c r="H89" s="300">
        <f>SUM('RASHODI ZA VIJEĆE'!G65)</f>
        <v>28500</v>
      </c>
      <c r="I89" s="300">
        <f>SUM('RASHODI ZA VIJEĆE'!H65)</f>
        <v>28800</v>
      </c>
      <c r="J89" s="300">
        <f>SUM('RASHODI ZA VIJEĆE'!I65)</f>
        <v>20368.190000000002</v>
      </c>
      <c r="K89" s="301">
        <f t="shared" si="20"/>
        <v>1.7082248649736658</v>
      </c>
      <c r="L89" s="301">
        <f t="shared" si="21"/>
        <v>1</v>
      </c>
      <c r="M89" s="301">
        <f t="shared" si="19"/>
        <v>0.70722881944444449</v>
      </c>
      <c r="N89" s="61"/>
    </row>
    <row r="90" spans="1:14" ht="20.25" x14ac:dyDescent="0.3">
      <c r="A90" s="297"/>
      <c r="B90" s="297"/>
      <c r="C90" s="297"/>
      <c r="D90" s="298">
        <v>3223</v>
      </c>
      <c r="E90" s="298" t="s">
        <v>58</v>
      </c>
      <c r="F90" s="300">
        <f>SUM('RASHODI ZA VIJEĆE'!E75)</f>
        <v>37676.949999999997</v>
      </c>
      <c r="G90" s="300">
        <f>SUM('RASHODI ZA VIJEĆE'!F75)</f>
        <v>82059.87</v>
      </c>
      <c r="H90" s="300">
        <f>SUM('RASHODI ZA VIJEĆE'!G75)</f>
        <v>92500</v>
      </c>
      <c r="I90" s="300">
        <f>SUM('RASHODI ZA VIJEĆE'!H75)</f>
        <v>94500</v>
      </c>
      <c r="J90" s="300">
        <f>SUM('RASHODI ZA VIJEĆE'!I75)</f>
        <v>82059.87</v>
      </c>
      <c r="K90" s="301">
        <f t="shared" si="20"/>
        <v>2.1779860100140804</v>
      </c>
      <c r="L90" s="301">
        <f t="shared" si="21"/>
        <v>1</v>
      </c>
      <c r="M90" s="301">
        <f t="shared" si="19"/>
        <v>0.86835841269841263</v>
      </c>
      <c r="N90" s="61"/>
    </row>
    <row r="91" spans="1:14" ht="20.25" x14ac:dyDescent="0.3">
      <c r="A91" s="297"/>
      <c r="B91" s="297"/>
      <c r="C91" s="297"/>
      <c r="D91" s="298">
        <v>3224</v>
      </c>
      <c r="E91" s="298" t="s">
        <v>95</v>
      </c>
      <c r="F91" s="300">
        <f>SUM('RASHODI ZA VIJEĆE'!E83)</f>
        <v>3642.3</v>
      </c>
      <c r="G91" s="300">
        <f>SUM('RASHODI ZA VIJEĆE'!F83)</f>
        <v>6380.24</v>
      </c>
      <c r="H91" s="300">
        <f>SUM('RASHODI ZA VIJEĆE'!G83)</f>
        <v>13500</v>
      </c>
      <c r="I91" s="300">
        <f>SUM('RASHODI ZA VIJEĆE'!H83)</f>
        <v>10500</v>
      </c>
      <c r="J91" s="300">
        <f>SUM('RASHODI ZA VIJEĆE'!I83)</f>
        <v>6380.24</v>
      </c>
      <c r="K91" s="301">
        <f t="shared" si="20"/>
        <v>1.7517063394009278</v>
      </c>
      <c r="L91" s="301">
        <f t="shared" si="21"/>
        <v>1</v>
      </c>
      <c r="M91" s="301">
        <f t="shared" si="19"/>
        <v>0.60764190476190472</v>
      </c>
      <c r="N91" s="61"/>
    </row>
    <row r="92" spans="1:14" ht="20.25" x14ac:dyDescent="0.3">
      <c r="A92" s="297"/>
      <c r="B92" s="297"/>
      <c r="C92" s="297"/>
      <c r="D92" s="298">
        <v>3225</v>
      </c>
      <c r="E92" s="298" t="s">
        <v>1046</v>
      </c>
      <c r="F92" s="300">
        <f>SUM('RASHODI ZA VIJEĆE'!E87)</f>
        <v>0</v>
      </c>
      <c r="G92" s="300">
        <f>SUM('RASHODI ZA VIJEĆE'!F87)</f>
        <v>39.68</v>
      </c>
      <c r="H92" s="300">
        <f>SUM('RASHODI ZA VIJEĆE'!G87)</f>
        <v>4500</v>
      </c>
      <c r="I92" s="300">
        <f>SUM('RASHODI ZA VIJEĆE'!H87)</f>
        <v>500</v>
      </c>
      <c r="J92" s="300">
        <f>SUM('RASHODI ZA VIJEĆE'!I87)</f>
        <v>39.68</v>
      </c>
      <c r="K92" s="301">
        <f t="shared" si="20"/>
        <v>0</v>
      </c>
      <c r="L92" s="301">
        <f t="shared" si="21"/>
        <v>1</v>
      </c>
      <c r="M92" s="301">
        <f t="shared" si="19"/>
        <v>7.936E-2</v>
      </c>
      <c r="N92" s="61"/>
    </row>
    <row r="93" spans="1:14" ht="20.25" x14ac:dyDescent="0.3">
      <c r="A93" s="297"/>
      <c r="B93" s="297"/>
      <c r="C93" s="297"/>
      <c r="D93" s="298">
        <v>3227</v>
      </c>
      <c r="E93" s="298" t="s">
        <v>76</v>
      </c>
      <c r="F93" s="300">
        <f>SUM('RASHODI ZA VIJEĆE'!E90)</f>
        <v>0</v>
      </c>
      <c r="G93" s="300">
        <f>SUM('RASHODI ZA VIJEĆE'!F90)</f>
        <v>0</v>
      </c>
      <c r="H93" s="300">
        <f>SUM('RASHODI ZA VIJEĆE'!G90)</f>
        <v>1500</v>
      </c>
      <c r="I93" s="300">
        <f>SUM('RASHODI ZA VIJEĆE'!H90)</f>
        <v>1000</v>
      </c>
      <c r="J93" s="300">
        <f>SUM('RASHODI ZA VIJEĆE'!I90)</f>
        <v>0</v>
      </c>
      <c r="K93" s="301">
        <f t="shared" si="20"/>
        <v>0</v>
      </c>
      <c r="L93" s="301">
        <f t="shared" si="21"/>
        <v>0</v>
      </c>
      <c r="M93" s="301">
        <f t="shared" si="19"/>
        <v>0</v>
      </c>
      <c r="N93" s="61"/>
    </row>
    <row r="94" spans="1:14" s="305" customFormat="1" ht="20.25" x14ac:dyDescent="0.3">
      <c r="A94" s="304"/>
      <c r="B94" s="304"/>
      <c r="C94" s="304">
        <v>323</v>
      </c>
      <c r="D94" s="280"/>
      <c r="E94" s="280" t="s">
        <v>2</v>
      </c>
      <c r="F94" s="281">
        <f>SUM(F95:F103)</f>
        <v>313312.58000000007</v>
      </c>
      <c r="G94" s="281">
        <f>SUM(G95:G103)</f>
        <v>780105.39999999991</v>
      </c>
      <c r="H94" s="281">
        <f>SUM(H95:H103)</f>
        <v>1044000</v>
      </c>
      <c r="I94" s="281">
        <f>SUM(I95:I103)</f>
        <v>959700</v>
      </c>
      <c r="J94" s="281">
        <f>SUM(J95:J103)</f>
        <v>780105.39999999991</v>
      </c>
      <c r="K94" s="282">
        <f t="shared" si="20"/>
        <v>2.4898629987981962</v>
      </c>
      <c r="L94" s="282">
        <f t="shared" si="21"/>
        <v>1</v>
      </c>
      <c r="M94" s="282">
        <f t="shared" si="19"/>
        <v>0.81286381160779397</v>
      </c>
      <c r="N94" s="310"/>
    </row>
    <row r="95" spans="1:14" ht="20.25" x14ac:dyDescent="0.3">
      <c r="A95" s="297"/>
      <c r="B95" s="297"/>
      <c r="C95" s="297"/>
      <c r="D95" s="298">
        <v>3231</v>
      </c>
      <c r="E95" s="298" t="s">
        <v>68</v>
      </c>
      <c r="F95" s="300">
        <f>SUM('RASHODI ZA VIJEĆE'!E93)</f>
        <v>4890.3600000000006</v>
      </c>
      <c r="G95" s="300">
        <f>SUM('RASHODI ZA VIJEĆE'!F93)</f>
        <v>18102.560000000001</v>
      </c>
      <c r="H95" s="300">
        <f>SUM('RASHODI ZA VIJEĆE'!G93)</f>
        <v>25500</v>
      </c>
      <c r="I95" s="300">
        <f>SUM('RASHODI ZA VIJEĆE'!H93)</f>
        <v>19300</v>
      </c>
      <c r="J95" s="300">
        <f>SUM('RASHODI ZA VIJEĆE'!I93)</f>
        <v>18102.560000000001</v>
      </c>
      <c r="K95" s="301">
        <f t="shared" si="20"/>
        <v>3.7016824937223434</v>
      </c>
      <c r="L95" s="301">
        <f t="shared" si="21"/>
        <v>1</v>
      </c>
      <c r="M95" s="301">
        <f t="shared" si="19"/>
        <v>0.93795647668393789</v>
      </c>
      <c r="N95" s="61"/>
    </row>
    <row r="96" spans="1:14" ht="20.25" x14ac:dyDescent="0.3">
      <c r="A96" s="297"/>
      <c r="B96" s="297"/>
      <c r="C96" s="297"/>
      <c r="D96" s="298">
        <v>3232</v>
      </c>
      <c r="E96" s="298" t="s">
        <v>57</v>
      </c>
      <c r="F96" s="300">
        <f>SUM('RASHODI ZA VIJEĆE'!E98)</f>
        <v>47089.36</v>
      </c>
      <c r="G96" s="300">
        <f>SUM('RASHODI ZA VIJEĆE'!F98)</f>
        <v>118929.35</v>
      </c>
      <c r="H96" s="300">
        <f>SUM('RASHODI ZA VIJEĆE'!G98)</f>
        <v>452000</v>
      </c>
      <c r="I96" s="300">
        <f>SUM('RASHODI ZA VIJEĆE'!H98)</f>
        <v>191100</v>
      </c>
      <c r="J96" s="300">
        <f>SUM('RASHODI ZA VIJEĆE'!I98)</f>
        <v>118929.35</v>
      </c>
      <c r="K96" s="301">
        <f t="shared" si="20"/>
        <v>2.5256098192882641</v>
      </c>
      <c r="L96" s="301">
        <f t="shared" si="21"/>
        <v>1</v>
      </c>
      <c r="M96" s="301">
        <f t="shared" si="19"/>
        <v>0.62234092098377813</v>
      </c>
      <c r="N96" s="61"/>
    </row>
    <row r="97" spans="1:14" ht="20.25" x14ac:dyDescent="0.3">
      <c r="A97" s="297"/>
      <c r="B97" s="297"/>
      <c r="C97" s="297"/>
      <c r="D97" s="298">
        <v>3233</v>
      </c>
      <c r="E97" s="298" t="s">
        <v>67</v>
      </c>
      <c r="F97" s="300">
        <f>SUM('RASHODI ZA VIJEĆE'!E118)</f>
        <v>6842.9000000000005</v>
      </c>
      <c r="G97" s="300">
        <f>SUM('RASHODI ZA VIJEĆE'!F118)</f>
        <v>12042.43</v>
      </c>
      <c r="H97" s="300">
        <f>SUM('RASHODI ZA VIJEĆE'!G118)</f>
        <v>14000</v>
      </c>
      <c r="I97" s="300">
        <f>SUM('RASHODI ZA VIJEĆE'!H118)</f>
        <v>15500</v>
      </c>
      <c r="J97" s="300">
        <f>SUM('RASHODI ZA VIJEĆE'!I118)</f>
        <v>12042.43</v>
      </c>
      <c r="K97" s="301">
        <f t="shared" si="20"/>
        <v>1.759843048999693</v>
      </c>
      <c r="L97" s="301">
        <f t="shared" si="21"/>
        <v>1</v>
      </c>
      <c r="M97" s="301">
        <f t="shared" si="19"/>
        <v>0.77693096774193549</v>
      </c>
      <c r="N97" s="61"/>
    </row>
    <row r="98" spans="1:14" ht="20.25" x14ac:dyDescent="0.3">
      <c r="A98" s="297"/>
      <c r="B98" s="297"/>
      <c r="C98" s="297"/>
      <c r="D98" s="298">
        <v>3234</v>
      </c>
      <c r="E98" s="298" t="s">
        <v>55</v>
      </c>
      <c r="F98" s="300">
        <f>SUM('RASHODI ZA VIJEĆE'!E122)</f>
        <v>133297.40000000002</v>
      </c>
      <c r="G98" s="300">
        <f>SUM('RASHODI ZA VIJEĆE'!F122)</f>
        <v>346831.57999999996</v>
      </c>
      <c r="H98" s="300">
        <f>SUM('RASHODI ZA VIJEĆE'!G122)</f>
        <v>238000</v>
      </c>
      <c r="I98" s="300">
        <f>SUM('RASHODI ZA VIJEĆE'!H122)</f>
        <v>374500</v>
      </c>
      <c r="J98" s="300">
        <f>SUM('RASHODI ZA VIJEĆE'!I122)</f>
        <v>346831.57999999996</v>
      </c>
      <c r="K98" s="301">
        <f t="shared" si="20"/>
        <v>2.601938072310487</v>
      </c>
      <c r="L98" s="301">
        <f t="shared" si="21"/>
        <v>1</v>
      </c>
      <c r="M98" s="301">
        <f t="shared" si="19"/>
        <v>0.92611903871829093</v>
      </c>
      <c r="N98" s="61"/>
    </row>
    <row r="99" spans="1:14" ht="20.25" x14ac:dyDescent="0.3">
      <c r="A99" s="297"/>
      <c r="B99" s="297"/>
      <c r="C99" s="297"/>
      <c r="D99" s="298">
        <v>3235</v>
      </c>
      <c r="E99" s="298" t="s">
        <v>77</v>
      </c>
      <c r="F99" s="300">
        <f>SUM('RASHODI ZA VIJEĆE'!E141)</f>
        <v>365.75</v>
      </c>
      <c r="G99" s="300">
        <f>SUM('RASHODI ZA VIJEĆE'!F141)</f>
        <v>365.75</v>
      </c>
      <c r="H99" s="300">
        <f>SUM('RASHODI ZA VIJEĆE'!G141)</f>
        <v>1000</v>
      </c>
      <c r="I99" s="300">
        <f>SUM('RASHODI ZA VIJEĆE'!H141)</f>
        <v>1000</v>
      </c>
      <c r="J99" s="300">
        <f>SUM('RASHODI ZA VIJEĆE'!I141)</f>
        <v>365.75</v>
      </c>
      <c r="K99" s="301">
        <f t="shared" si="20"/>
        <v>1</v>
      </c>
      <c r="L99" s="301">
        <f t="shared" si="21"/>
        <v>1</v>
      </c>
      <c r="M99" s="301">
        <f t="shared" si="19"/>
        <v>0.36575000000000002</v>
      </c>
      <c r="N99" s="61"/>
    </row>
    <row r="100" spans="1:14" ht="20.25" x14ac:dyDescent="0.3">
      <c r="A100" s="297"/>
      <c r="B100" s="297"/>
      <c r="C100" s="297"/>
      <c r="D100" s="298">
        <v>3236</v>
      </c>
      <c r="E100" s="298" t="s">
        <v>54</v>
      </c>
      <c r="F100" s="300">
        <f>SUM('RASHODI ZA VIJEĆE'!E143)</f>
        <v>5115.32</v>
      </c>
      <c r="G100" s="300">
        <f>SUM('RASHODI ZA VIJEĆE'!F143)</f>
        <v>7084.45</v>
      </c>
      <c r="H100" s="300">
        <f>SUM('RASHODI ZA VIJEĆE'!G143)</f>
        <v>31000</v>
      </c>
      <c r="I100" s="300">
        <f>SUM('RASHODI ZA VIJEĆE'!H143)</f>
        <v>10000</v>
      </c>
      <c r="J100" s="300">
        <f>SUM('RASHODI ZA VIJEĆE'!I143)</f>
        <v>7084.45</v>
      </c>
      <c r="K100" s="301">
        <f t="shared" si="20"/>
        <v>1.384947569262529</v>
      </c>
      <c r="L100" s="301">
        <f t="shared" si="21"/>
        <v>1</v>
      </c>
      <c r="M100" s="301">
        <f t="shared" si="19"/>
        <v>0.70844499999999999</v>
      </c>
      <c r="N100" s="61"/>
    </row>
    <row r="101" spans="1:14" ht="20.25" x14ac:dyDescent="0.3">
      <c r="A101" s="297"/>
      <c r="B101" s="297"/>
      <c r="C101" s="297"/>
      <c r="D101" s="298">
        <v>3237</v>
      </c>
      <c r="E101" s="298" t="s">
        <v>66</v>
      </c>
      <c r="F101" s="300">
        <f>SUM('RASHODI ZA VIJEĆE'!E147)</f>
        <v>20039.23</v>
      </c>
      <c r="G101" s="300">
        <f>SUM('RASHODI ZA VIJEĆE'!F147)</f>
        <v>42906.63</v>
      </c>
      <c r="H101" s="300">
        <f>SUM('RASHODI ZA VIJEĆE'!G147)</f>
        <v>99500</v>
      </c>
      <c r="I101" s="300">
        <f>SUM('RASHODI ZA VIJEĆE'!H147)</f>
        <v>80500</v>
      </c>
      <c r="J101" s="300">
        <f>SUM('RASHODI ZA VIJEĆE'!I147)</f>
        <v>42906.63</v>
      </c>
      <c r="K101" s="301">
        <f t="shared" si="20"/>
        <v>2.1411316702288459</v>
      </c>
      <c r="L101" s="301">
        <f t="shared" si="21"/>
        <v>1</v>
      </c>
      <c r="M101" s="301">
        <f t="shared" si="19"/>
        <v>0.53300161490683229</v>
      </c>
      <c r="N101" s="61"/>
    </row>
    <row r="102" spans="1:14" ht="20.25" x14ac:dyDescent="0.3">
      <c r="A102" s="297"/>
      <c r="B102" s="297"/>
      <c r="C102" s="297"/>
      <c r="D102" s="298">
        <v>3238</v>
      </c>
      <c r="E102" s="298" t="s">
        <v>65</v>
      </c>
      <c r="F102" s="300">
        <f>SUM('RASHODI ZA VIJEĆE'!E156)</f>
        <v>2544.54</v>
      </c>
      <c r="G102" s="300">
        <f>SUM('RASHODI ZA VIJEĆE'!F156)</f>
        <v>8614.08</v>
      </c>
      <c r="H102" s="300">
        <f>SUM('RASHODI ZA VIJEĆE'!G156)</f>
        <v>14000</v>
      </c>
      <c r="I102" s="300">
        <f>SUM('RASHODI ZA VIJEĆE'!H156)</f>
        <v>43500</v>
      </c>
      <c r="J102" s="300">
        <f>SUM('RASHODI ZA VIJEĆE'!I156)</f>
        <v>8614.08</v>
      </c>
      <c r="K102" s="301">
        <f t="shared" si="20"/>
        <v>3.3853191539531702</v>
      </c>
      <c r="L102" s="301">
        <f t="shared" si="21"/>
        <v>1</v>
      </c>
      <c r="M102" s="301">
        <f t="shared" si="19"/>
        <v>0.1980248275862069</v>
      </c>
      <c r="N102" s="61"/>
    </row>
    <row r="103" spans="1:14" ht="20.25" x14ac:dyDescent="0.3">
      <c r="A103" s="297"/>
      <c r="B103" s="297"/>
      <c r="C103" s="297"/>
      <c r="D103" s="298">
        <v>3239</v>
      </c>
      <c r="E103" s="298" t="s">
        <v>64</v>
      </c>
      <c r="F103" s="300">
        <f>SUM('RASHODI ZA VIJEĆE'!E160)</f>
        <v>93127.72</v>
      </c>
      <c r="G103" s="300">
        <f>SUM('RASHODI ZA VIJEĆE'!F160)</f>
        <v>225228.57</v>
      </c>
      <c r="H103" s="300">
        <f>SUM('RASHODI ZA VIJEĆE'!G160)</f>
        <v>169000</v>
      </c>
      <c r="I103" s="300">
        <f>SUM('RASHODI ZA VIJEĆE'!H160)</f>
        <v>224300</v>
      </c>
      <c r="J103" s="300">
        <f>SUM('RASHODI ZA VIJEĆE'!I160)</f>
        <v>225228.57</v>
      </c>
      <c r="K103" s="301">
        <f t="shared" si="20"/>
        <v>2.4184911860829406</v>
      </c>
      <c r="L103" s="301">
        <f t="shared" si="21"/>
        <v>1</v>
      </c>
      <c r="M103" s="301">
        <f t="shared" si="19"/>
        <v>1.0041398573339277</v>
      </c>
      <c r="N103" s="61"/>
    </row>
    <row r="104" spans="1:14" s="305" customFormat="1" ht="20.25" x14ac:dyDescent="0.3">
      <c r="A104" s="304"/>
      <c r="B104" s="304"/>
      <c r="C104" s="304">
        <v>329</v>
      </c>
      <c r="D104" s="280"/>
      <c r="E104" s="280" t="s">
        <v>7</v>
      </c>
      <c r="F104" s="281">
        <f>SUM(F105:F111)</f>
        <v>19941.559999999998</v>
      </c>
      <c r="G104" s="281">
        <f>SUM(G105:G111)</f>
        <v>96679.87</v>
      </c>
      <c r="H104" s="281">
        <f>SUM(H105:H111)</f>
        <v>117000</v>
      </c>
      <c r="I104" s="281">
        <f>SUM(I105:I111)</f>
        <v>112000</v>
      </c>
      <c r="J104" s="281">
        <f>SUM(J105:J111)</f>
        <v>96679.87</v>
      </c>
      <c r="K104" s="282">
        <f t="shared" si="20"/>
        <v>4.8481598230028142</v>
      </c>
      <c r="L104" s="282">
        <f t="shared" si="21"/>
        <v>1</v>
      </c>
      <c r="M104" s="282">
        <f t="shared" ref="M104:M137" si="22">IFERROR(SUM(J104/I104),0)</f>
        <v>0.86321312499999991</v>
      </c>
      <c r="N104" s="310"/>
    </row>
    <row r="105" spans="1:14" ht="20.25" x14ac:dyDescent="0.3">
      <c r="A105" s="297"/>
      <c r="B105" s="297"/>
      <c r="C105" s="297"/>
      <c r="D105" s="298">
        <v>3291</v>
      </c>
      <c r="E105" s="298" t="s">
        <v>1047</v>
      </c>
      <c r="F105" s="300">
        <f>SUM('RASHODI ZA VIJEĆE'!E178)</f>
        <v>9016.17</v>
      </c>
      <c r="G105" s="300">
        <f>SUM('RASHODI ZA VIJEĆE'!F178)</f>
        <v>21639.87</v>
      </c>
      <c r="H105" s="300">
        <f>SUM('RASHODI ZA VIJEĆE'!G178)</f>
        <v>22000</v>
      </c>
      <c r="I105" s="300">
        <f>SUM('RASHODI ZA VIJEĆE'!H178)</f>
        <v>26100</v>
      </c>
      <c r="J105" s="300">
        <f>SUM('RASHODI ZA VIJEĆE'!I178)</f>
        <v>21639.87</v>
      </c>
      <c r="K105" s="301">
        <f t="shared" si="20"/>
        <v>2.4001177883735552</v>
      </c>
      <c r="L105" s="301">
        <f t="shared" si="21"/>
        <v>1</v>
      </c>
      <c r="M105" s="301">
        <f t="shared" si="22"/>
        <v>0.82911379310344824</v>
      </c>
      <c r="N105" s="61"/>
    </row>
    <row r="106" spans="1:14" ht="20.25" x14ac:dyDescent="0.3">
      <c r="A106" s="297"/>
      <c r="B106" s="297"/>
      <c r="C106" s="297"/>
      <c r="D106" s="298">
        <v>3292</v>
      </c>
      <c r="E106" s="298" t="s">
        <v>63</v>
      </c>
      <c r="F106" s="300">
        <f>SUM('RASHODI ZA VIJEĆE'!E188)</f>
        <v>74.290000000000006</v>
      </c>
      <c r="G106" s="300">
        <f>SUM('RASHODI ZA VIJEĆE'!F188)</f>
        <v>1977.6</v>
      </c>
      <c r="H106" s="300">
        <f>SUM('RASHODI ZA VIJEĆE'!G188)</f>
        <v>8000</v>
      </c>
      <c r="I106" s="300">
        <f>SUM('RASHODI ZA VIJEĆE'!H188)</f>
        <v>8000</v>
      </c>
      <c r="J106" s="300">
        <f>SUM('RASHODI ZA VIJEĆE'!I188)</f>
        <v>1977.6</v>
      </c>
      <c r="K106" s="301">
        <f t="shared" si="20"/>
        <v>26.620002692152372</v>
      </c>
      <c r="L106" s="301">
        <f t="shared" si="21"/>
        <v>1</v>
      </c>
      <c r="M106" s="301">
        <f t="shared" si="22"/>
        <v>0.24719999999999998</v>
      </c>
      <c r="N106" s="61"/>
    </row>
    <row r="107" spans="1:14" ht="20.25" x14ac:dyDescent="0.3">
      <c r="A107" s="297"/>
      <c r="B107" s="297"/>
      <c r="C107" s="297"/>
      <c r="D107" s="298">
        <v>3293</v>
      </c>
      <c r="E107" s="298" t="s">
        <v>62</v>
      </c>
      <c r="F107" s="300">
        <f>SUM('RASHODI ZA VIJEĆE'!E193)</f>
        <v>9836.06</v>
      </c>
      <c r="G107" s="300">
        <f>SUM('RASHODI ZA VIJEĆE'!F193)</f>
        <v>69033.989999999991</v>
      </c>
      <c r="H107" s="300">
        <f>SUM('RASHODI ZA VIJEĆE'!G193)</f>
        <v>64000</v>
      </c>
      <c r="I107" s="300">
        <f>SUM('RASHODI ZA VIJEĆE'!H193)</f>
        <v>72300</v>
      </c>
      <c r="J107" s="300">
        <f>SUM('RASHODI ZA VIJEĆE'!I193)</f>
        <v>69033.989999999991</v>
      </c>
      <c r="K107" s="301">
        <f t="shared" si="20"/>
        <v>7.0184596271271218</v>
      </c>
      <c r="L107" s="301">
        <f t="shared" si="21"/>
        <v>1</v>
      </c>
      <c r="M107" s="301">
        <f t="shared" si="22"/>
        <v>0.95482697095435676</v>
      </c>
      <c r="N107" s="61"/>
    </row>
    <row r="108" spans="1:14" ht="20.25" x14ac:dyDescent="0.3">
      <c r="A108" s="297"/>
      <c r="B108" s="297"/>
      <c r="C108" s="297"/>
      <c r="D108" s="298">
        <v>3294</v>
      </c>
      <c r="E108" s="298" t="s">
        <v>386</v>
      </c>
      <c r="F108" s="300">
        <f>SUM('RASHODI ZA VIJEĆE'!E201)</f>
        <v>30.53</v>
      </c>
      <c r="G108" s="300">
        <f>SUM('RASHODI ZA VIJEĆE'!F201)</f>
        <v>2104.19</v>
      </c>
      <c r="H108" s="300">
        <f>SUM('RASHODI ZA VIJEĆE'!G201)</f>
        <v>4000</v>
      </c>
      <c r="I108" s="300">
        <f>SUM('RASHODI ZA VIJEĆE'!H201)</f>
        <v>2200</v>
      </c>
      <c r="J108" s="300">
        <f>SUM('RASHODI ZA VIJEĆE'!I201)</f>
        <v>2104.19</v>
      </c>
      <c r="K108" s="301">
        <f t="shared" si="20"/>
        <v>68.922043891254503</v>
      </c>
      <c r="L108" s="301">
        <f t="shared" si="21"/>
        <v>1</v>
      </c>
      <c r="M108" s="301">
        <f t="shared" si="22"/>
        <v>0.95645000000000002</v>
      </c>
      <c r="N108" s="61"/>
    </row>
    <row r="109" spans="1:14" ht="20.25" x14ac:dyDescent="0.3">
      <c r="A109" s="297"/>
      <c r="B109" s="297"/>
      <c r="C109" s="297"/>
      <c r="D109" s="298">
        <v>3295</v>
      </c>
      <c r="E109" s="298" t="s">
        <v>78</v>
      </c>
      <c r="F109" s="300">
        <f>SUM('RASHODI ZA VIJEĆE'!E203)</f>
        <v>126.86999999999999</v>
      </c>
      <c r="G109" s="300">
        <f>SUM('RASHODI ZA VIJEĆE'!F203)</f>
        <v>503.49</v>
      </c>
      <c r="H109" s="300">
        <f>SUM('RASHODI ZA VIJEĆE'!G203)</f>
        <v>10500</v>
      </c>
      <c r="I109" s="300">
        <f>SUM('RASHODI ZA VIJEĆE'!H203)</f>
        <v>1200</v>
      </c>
      <c r="J109" s="300">
        <f>SUM('RASHODI ZA VIJEĆE'!I203)</f>
        <v>503.49</v>
      </c>
      <c r="K109" s="301">
        <f t="shared" si="20"/>
        <v>3.9685504847481679</v>
      </c>
      <c r="L109" s="301">
        <f t="shared" si="21"/>
        <v>1</v>
      </c>
      <c r="M109" s="301">
        <f t="shared" si="22"/>
        <v>0.41957500000000003</v>
      </c>
      <c r="N109" s="61"/>
    </row>
    <row r="110" spans="1:14" ht="20.25" x14ac:dyDescent="0.3">
      <c r="A110" s="297"/>
      <c r="B110" s="297"/>
      <c r="C110" s="297"/>
      <c r="D110" s="298">
        <v>3296</v>
      </c>
      <c r="E110" s="298" t="s">
        <v>387</v>
      </c>
      <c r="F110" s="300">
        <f>SUM('RASHODI ZA VIJEĆE'!E208)</f>
        <v>0</v>
      </c>
      <c r="G110" s="300">
        <f>SUM('RASHODI ZA VIJEĆE'!F208)</f>
        <v>0</v>
      </c>
      <c r="H110" s="300">
        <f>SUM('RASHODI ZA VIJEĆE'!G208)</f>
        <v>2500</v>
      </c>
      <c r="I110" s="300">
        <f>SUM('RASHODI ZA VIJEĆE'!H208)</f>
        <v>0</v>
      </c>
      <c r="J110" s="300">
        <f>SUM('RASHODI ZA VIJEĆE'!I208)</f>
        <v>0</v>
      </c>
      <c r="K110" s="301">
        <f t="shared" si="20"/>
        <v>0</v>
      </c>
      <c r="L110" s="301">
        <f t="shared" si="21"/>
        <v>0</v>
      </c>
      <c r="M110" s="301">
        <f t="shared" si="22"/>
        <v>0</v>
      </c>
      <c r="N110" s="61"/>
    </row>
    <row r="111" spans="1:14" ht="20.25" x14ac:dyDescent="0.3">
      <c r="A111" s="297"/>
      <c r="B111" s="297"/>
      <c r="C111" s="297"/>
      <c r="D111" s="298">
        <v>3299</v>
      </c>
      <c r="E111" s="298" t="s">
        <v>7</v>
      </c>
      <c r="F111" s="300">
        <f>SUM('RASHODI ZA VIJEĆE'!E210)</f>
        <v>857.64</v>
      </c>
      <c r="G111" s="300">
        <f>SUM('RASHODI ZA VIJEĆE'!F210)</f>
        <v>1420.73</v>
      </c>
      <c r="H111" s="300">
        <f>SUM('RASHODI ZA VIJEĆE'!G210)</f>
        <v>6000</v>
      </c>
      <c r="I111" s="300">
        <f>SUM('RASHODI ZA VIJEĆE'!H210)</f>
        <v>2200</v>
      </c>
      <c r="J111" s="300">
        <f>SUM('RASHODI ZA VIJEĆE'!I210)</f>
        <v>1420.73</v>
      </c>
      <c r="K111" s="301">
        <f t="shared" si="20"/>
        <v>1.6565575299659532</v>
      </c>
      <c r="L111" s="301">
        <f t="shared" si="21"/>
        <v>1</v>
      </c>
      <c r="M111" s="301">
        <f t="shared" si="22"/>
        <v>0.64578636363636366</v>
      </c>
      <c r="N111" s="61"/>
    </row>
    <row r="112" spans="1:14" s="305" customFormat="1" ht="20.25" x14ac:dyDescent="0.3">
      <c r="A112" s="304"/>
      <c r="B112" s="304">
        <v>34</v>
      </c>
      <c r="C112" s="304"/>
      <c r="D112" s="280"/>
      <c r="E112" s="280" t="s">
        <v>8</v>
      </c>
      <c r="F112" s="281">
        <f>SUM(F113:F113)</f>
        <v>2456.34</v>
      </c>
      <c r="G112" s="281">
        <f>SUM(G113:G113)</f>
        <v>5121.6400000000003</v>
      </c>
      <c r="H112" s="281">
        <f>SUM(H113:H113)</f>
        <v>8000</v>
      </c>
      <c r="I112" s="281">
        <f>SUM(I113:I113)</f>
        <v>6000</v>
      </c>
      <c r="J112" s="281">
        <f>SUM(J113:J113)</f>
        <v>5121.6400000000003</v>
      </c>
      <c r="K112" s="282">
        <f t="shared" si="20"/>
        <v>2.0850696564807802</v>
      </c>
      <c r="L112" s="282">
        <f t="shared" si="21"/>
        <v>1</v>
      </c>
      <c r="M112" s="282">
        <f t="shared" si="22"/>
        <v>0.85360666666666674</v>
      </c>
      <c r="N112" s="310"/>
    </row>
    <row r="113" spans="1:14" s="305" customFormat="1" ht="20.25" x14ac:dyDescent="0.3">
      <c r="A113" s="304"/>
      <c r="B113" s="304"/>
      <c r="C113" s="304">
        <v>343</v>
      </c>
      <c r="D113" s="280"/>
      <c r="E113" s="280" t="s">
        <v>9</v>
      </c>
      <c r="F113" s="281">
        <f>SUM(F114:F116)</f>
        <v>2456.34</v>
      </c>
      <c r="G113" s="281">
        <f>SUM(G114:G116)</f>
        <v>5121.6400000000003</v>
      </c>
      <c r="H113" s="281">
        <f>SUM(H114:H116)</f>
        <v>8000</v>
      </c>
      <c r="I113" s="281">
        <f>SUM(I114:I116)</f>
        <v>6000</v>
      </c>
      <c r="J113" s="281">
        <f>SUM(J114:J116)</f>
        <v>5121.6400000000003</v>
      </c>
      <c r="K113" s="282">
        <f t="shared" si="20"/>
        <v>2.0850696564807802</v>
      </c>
      <c r="L113" s="282">
        <f t="shared" si="21"/>
        <v>1</v>
      </c>
      <c r="M113" s="282">
        <f t="shared" si="22"/>
        <v>0.85360666666666674</v>
      </c>
      <c r="N113" s="310"/>
    </row>
    <row r="114" spans="1:14" ht="20.25" x14ac:dyDescent="0.3">
      <c r="A114" s="297"/>
      <c r="B114" s="297"/>
      <c r="C114" s="297"/>
      <c r="D114" s="298">
        <v>3431</v>
      </c>
      <c r="E114" s="298" t="s">
        <v>61</v>
      </c>
      <c r="F114" s="300">
        <f>SUM('RASHODI ZA VIJEĆE'!E216+'RASHODI ZA VIJEĆE'!E217+'RASHODI ZA VIJEĆE'!E219)</f>
        <v>2290.88</v>
      </c>
      <c r="G114" s="300">
        <f>SUM('RASHODI ZA VIJEĆE'!F216+'RASHODI ZA VIJEĆE'!F217+'RASHODI ZA VIJEĆE'!F219)</f>
        <v>4655.2000000000007</v>
      </c>
      <c r="H114" s="300">
        <f>SUM('RASHODI ZA VIJEĆE'!G216+'RASHODI ZA VIJEĆE'!G217+'RASHODI ZA VIJEĆE'!G219)</f>
        <v>4500</v>
      </c>
      <c r="I114" s="300">
        <f>SUM('RASHODI ZA VIJEĆE'!H216+'RASHODI ZA VIJEĆE'!H217+'RASHODI ZA VIJEĆE'!H219)</f>
        <v>4900</v>
      </c>
      <c r="J114" s="300">
        <f>SUM('RASHODI ZA VIJEĆE'!I216+'RASHODI ZA VIJEĆE'!I217+'RASHODI ZA VIJEĆE'!I219)</f>
        <v>4655.2000000000007</v>
      </c>
      <c r="K114" s="301">
        <f t="shared" si="20"/>
        <v>2.0320575499371425</v>
      </c>
      <c r="L114" s="301">
        <f t="shared" si="21"/>
        <v>1</v>
      </c>
      <c r="M114" s="301">
        <f t="shared" si="22"/>
        <v>0.95004081632653081</v>
      </c>
      <c r="N114" s="61"/>
    </row>
    <row r="115" spans="1:14" ht="20.25" x14ac:dyDescent="0.3">
      <c r="A115" s="297"/>
      <c r="B115" s="297"/>
      <c r="C115" s="297"/>
      <c r="D115" s="298">
        <v>3433</v>
      </c>
      <c r="E115" s="298" t="s">
        <v>288</v>
      </c>
      <c r="F115" s="300">
        <f>SUM('RASHODI ZA VIJEĆE'!E218)</f>
        <v>0</v>
      </c>
      <c r="G115" s="300">
        <f>SUM('RASHODI ZA VIJEĆE'!F218)</f>
        <v>40.729999999999997</v>
      </c>
      <c r="H115" s="300">
        <f>SUM('RASHODI ZA VIJEĆE'!G218)</f>
        <v>500</v>
      </c>
      <c r="I115" s="300">
        <f>SUM('RASHODI ZA VIJEĆE'!H218)</f>
        <v>100</v>
      </c>
      <c r="J115" s="300">
        <f>SUM('RASHODI ZA VIJEĆE'!I218)</f>
        <v>40.729999999999997</v>
      </c>
      <c r="K115" s="301">
        <f t="shared" si="20"/>
        <v>0</v>
      </c>
      <c r="L115" s="301">
        <f t="shared" si="21"/>
        <v>1</v>
      </c>
      <c r="M115" s="301">
        <f t="shared" si="22"/>
        <v>0.4073</v>
      </c>
      <c r="N115" s="61"/>
    </row>
    <row r="116" spans="1:14" ht="20.25" x14ac:dyDescent="0.3">
      <c r="A116" s="297"/>
      <c r="B116" s="297"/>
      <c r="C116" s="297"/>
      <c r="D116" s="298">
        <v>3434</v>
      </c>
      <c r="E116" s="298" t="s">
        <v>892</v>
      </c>
      <c r="F116" s="300">
        <f>SUM('RASHODI ZA VIJEĆE'!E220)</f>
        <v>165.46</v>
      </c>
      <c r="G116" s="300">
        <f>SUM('RASHODI ZA VIJEĆE'!F220)</f>
        <v>425.71</v>
      </c>
      <c r="H116" s="300">
        <f>SUM('RASHODI ZA VIJEĆE'!G220)</f>
        <v>3000</v>
      </c>
      <c r="I116" s="300">
        <f>SUM('RASHODI ZA VIJEĆE'!H220)</f>
        <v>1000</v>
      </c>
      <c r="J116" s="300">
        <f>SUM('RASHODI ZA VIJEĆE'!I220)</f>
        <v>425.71</v>
      </c>
      <c r="K116" s="301">
        <f t="shared" si="20"/>
        <v>2.57288770699867</v>
      </c>
      <c r="L116" s="301">
        <f t="shared" si="21"/>
        <v>1</v>
      </c>
      <c r="M116" s="301">
        <f t="shared" si="22"/>
        <v>0.42570999999999998</v>
      </c>
      <c r="N116" s="61"/>
    </row>
    <row r="117" spans="1:14" s="305" customFormat="1" ht="20.25" x14ac:dyDescent="0.3">
      <c r="A117" s="304"/>
      <c r="B117" s="304">
        <v>35</v>
      </c>
      <c r="C117" s="304"/>
      <c r="D117" s="280"/>
      <c r="E117" s="280" t="s">
        <v>38</v>
      </c>
      <c r="F117" s="281">
        <f>SUM(F118)</f>
        <v>0</v>
      </c>
      <c r="G117" s="281">
        <f t="shared" ref="G117:J118" si="23">SUM(G118)</f>
        <v>0</v>
      </c>
      <c r="H117" s="281">
        <f t="shared" si="23"/>
        <v>14000</v>
      </c>
      <c r="I117" s="281">
        <f t="shared" si="23"/>
        <v>0</v>
      </c>
      <c r="J117" s="281">
        <f t="shared" si="23"/>
        <v>0</v>
      </c>
      <c r="K117" s="282">
        <f t="shared" si="20"/>
        <v>0</v>
      </c>
      <c r="L117" s="282">
        <f t="shared" si="21"/>
        <v>0</v>
      </c>
      <c r="M117" s="282">
        <f t="shared" si="22"/>
        <v>0</v>
      </c>
      <c r="N117" s="310"/>
    </row>
    <row r="118" spans="1:14" s="305" customFormat="1" ht="40.5" x14ac:dyDescent="0.3">
      <c r="A118" s="304"/>
      <c r="B118" s="304"/>
      <c r="C118" s="304">
        <v>352</v>
      </c>
      <c r="D118" s="280"/>
      <c r="E118" s="316" t="s">
        <v>1048</v>
      </c>
      <c r="F118" s="281">
        <f>SUM(F119)</f>
        <v>0</v>
      </c>
      <c r="G118" s="281">
        <f t="shared" si="23"/>
        <v>0</v>
      </c>
      <c r="H118" s="281">
        <f t="shared" si="23"/>
        <v>14000</v>
      </c>
      <c r="I118" s="281">
        <f t="shared" si="23"/>
        <v>0</v>
      </c>
      <c r="J118" s="281">
        <f t="shared" si="23"/>
        <v>0</v>
      </c>
      <c r="K118" s="282">
        <f t="shared" si="20"/>
        <v>0</v>
      </c>
      <c r="L118" s="282">
        <f t="shared" si="21"/>
        <v>0</v>
      </c>
      <c r="M118" s="282">
        <f t="shared" si="22"/>
        <v>0</v>
      </c>
      <c r="N118" s="310"/>
    </row>
    <row r="119" spans="1:14" ht="20.25" x14ac:dyDescent="0.3">
      <c r="A119" s="297"/>
      <c r="B119" s="297"/>
      <c r="C119" s="297"/>
      <c r="D119" s="298">
        <v>3523</v>
      </c>
      <c r="E119" s="298" t="s">
        <v>1049</v>
      </c>
      <c r="F119" s="300">
        <f>SUM('RASHODI ZA VIJEĆE'!E226)</f>
        <v>0</v>
      </c>
      <c r="G119" s="300">
        <f>SUM('RASHODI ZA VIJEĆE'!F226)</f>
        <v>0</v>
      </c>
      <c r="H119" s="300">
        <f>SUM('RASHODI ZA VIJEĆE'!G226)</f>
        <v>14000</v>
      </c>
      <c r="I119" s="300">
        <f>SUM('RASHODI ZA VIJEĆE'!H226)</f>
        <v>0</v>
      </c>
      <c r="J119" s="300">
        <f>SUM('RASHODI ZA VIJEĆE'!I226)</f>
        <v>0</v>
      </c>
      <c r="K119" s="301">
        <f t="shared" si="20"/>
        <v>0</v>
      </c>
      <c r="L119" s="301">
        <f t="shared" si="21"/>
        <v>0</v>
      </c>
      <c r="M119" s="301">
        <f t="shared" si="22"/>
        <v>0</v>
      </c>
      <c r="N119" s="61"/>
    </row>
    <row r="120" spans="1:14" s="305" customFormat="1" ht="20.25" x14ac:dyDescent="0.3">
      <c r="A120" s="304"/>
      <c r="B120" s="304">
        <v>36</v>
      </c>
      <c r="C120" s="304"/>
      <c r="D120" s="280"/>
      <c r="E120" s="280" t="s">
        <v>382</v>
      </c>
      <c r="F120" s="281">
        <f>SUM(F121+F124)</f>
        <v>118964.57999999999</v>
      </c>
      <c r="G120" s="281">
        <f>SUM(G121+G124)</f>
        <v>247028.18</v>
      </c>
      <c r="H120" s="281">
        <f>SUM(H121+H124)</f>
        <v>214500</v>
      </c>
      <c r="I120" s="281">
        <f>SUM(I121+I124)</f>
        <v>243500</v>
      </c>
      <c r="J120" s="281">
        <f>SUM(J121+J124)</f>
        <v>247028.18</v>
      </c>
      <c r="K120" s="282">
        <f t="shared" si="20"/>
        <v>2.0764851185117452</v>
      </c>
      <c r="L120" s="282">
        <f t="shared" si="21"/>
        <v>1</v>
      </c>
      <c r="M120" s="282">
        <f t="shared" si="22"/>
        <v>1.0144894455852156</v>
      </c>
      <c r="N120" s="310"/>
    </row>
    <row r="121" spans="1:14" s="305" customFormat="1" ht="20.25" x14ac:dyDescent="0.3">
      <c r="A121" s="304"/>
      <c r="B121" s="304"/>
      <c r="C121" s="304">
        <v>366</v>
      </c>
      <c r="D121" s="280"/>
      <c r="E121" s="280" t="s">
        <v>383</v>
      </c>
      <c r="F121" s="281">
        <f>SUM(F122:F123)</f>
        <v>2558.1799999999998</v>
      </c>
      <c r="G121" s="281">
        <f>SUM(G122:G123)</f>
        <v>4614.18</v>
      </c>
      <c r="H121" s="281">
        <f>SUM(H122:H123)</f>
        <v>4500</v>
      </c>
      <c r="I121" s="281">
        <f>SUM(I122:I123)</f>
        <v>5500</v>
      </c>
      <c r="J121" s="281">
        <f>SUM(J122:J123)</f>
        <v>4614.18</v>
      </c>
      <c r="K121" s="282">
        <f t="shared" si="20"/>
        <v>1.803696377893659</v>
      </c>
      <c r="L121" s="282">
        <f t="shared" si="21"/>
        <v>1</v>
      </c>
      <c r="M121" s="282">
        <f t="shared" si="22"/>
        <v>0.83894181818181823</v>
      </c>
      <c r="N121" s="310"/>
    </row>
    <row r="122" spans="1:14" ht="20.25" x14ac:dyDescent="0.3">
      <c r="A122" s="297"/>
      <c r="B122" s="297"/>
      <c r="C122" s="297"/>
      <c r="D122" s="298">
        <v>3661</v>
      </c>
      <c r="E122" s="298" t="s">
        <v>1050</v>
      </c>
      <c r="F122" s="300">
        <f>SUM('RASHODI ZA VIJEĆE'!E232)</f>
        <v>2558.1799999999998</v>
      </c>
      <c r="G122" s="300">
        <f>SUM('RASHODI ZA VIJEĆE'!F232)</f>
        <v>4614.18</v>
      </c>
      <c r="H122" s="300">
        <f>SUM('RASHODI ZA VIJEĆE'!G232)</f>
        <v>500</v>
      </c>
      <c r="I122" s="300">
        <f>SUM('RASHODI ZA VIJEĆE'!H232)</f>
        <v>5000</v>
      </c>
      <c r="J122" s="300">
        <f>SUM('RASHODI ZA VIJEĆE'!I232)</f>
        <v>4614.18</v>
      </c>
      <c r="K122" s="301">
        <f t="shared" si="20"/>
        <v>1.803696377893659</v>
      </c>
      <c r="L122" s="301">
        <f t="shared" si="21"/>
        <v>1</v>
      </c>
      <c r="M122" s="301">
        <f t="shared" si="22"/>
        <v>0.9228360000000001</v>
      </c>
      <c r="N122" s="61"/>
    </row>
    <row r="123" spans="1:14" ht="20.25" x14ac:dyDescent="0.3">
      <c r="A123" s="297"/>
      <c r="B123" s="297"/>
      <c r="C123" s="297"/>
      <c r="D123" s="298">
        <v>3662</v>
      </c>
      <c r="E123" s="298" t="s">
        <v>1051</v>
      </c>
      <c r="F123" s="300">
        <f>SUM('RASHODI ZA VIJEĆE'!E234)</f>
        <v>0</v>
      </c>
      <c r="G123" s="300">
        <f>SUM('RASHODI ZA VIJEĆE'!F234)</f>
        <v>0</v>
      </c>
      <c r="H123" s="300">
        <f>SUM('RASHODI ZA VIJEĆE'!G234)</f>
        <v>4000</v>
      </c>
      <c r="I123" s="300">
        <f>SUM('RASHODI ZA VIJEĆE'!H234)</f>
        <v>500</v>
      </c>
      <c r="J123" s="300">
        <f>SUM('RASHODI ZA VIJEĆE'!I234)</f>
        <v>0</v>
      </c>
      <c r="K123" s="301">
        <f t="shared" si="20"/>
        <v>0</v>
      </c>
      <c r="L123" s="301">
        <f t="shared" si="21"/>
        <v>0</v>
      </c>
      <c r="M123" s="301">
        <f t="shared" si="22"/>
        <v>0</v>
      </c>
      <c r="N123" s="61"/>
    </row>
    <row r="124" spans="1:14" s="305" customFormat="1" ht="40.5" x14ac:dyDescent="0.3">
      <c r="A124" s="304"/>
      <c r="B124" s="304"/>
      <c r="C124" s="304">
        <v>367</v>
      </c>
      <c r="D124" s="280"/>
      <c r="E124" s="316" t="s">
        <v>440</v>
      </c>
      <c r="F124" s="281">
        <f>SUM(F125)</f>
        <v>116406.39999999999</v>
      </c>
      <c r="G124" s="281">
        <f>SUM(G125)</f>
        <v>242414</v>
      </c>
      <c r="H124" s="281">
        <f>SUM(H125)</f>
        <v>210000</v>
      </c>
      <c r="I124" s="281">
        <f>SUM(I125)</f>
        <v>238000</v>
      </c>
      <c r="J124" s="281">
        <f>SUM(J125)</f>
        <v>242414</v>
      </c>
      <c r="K124" s="282">
        <f t="shared" si="20"/>
        <v>2.0824800010995959</v>
      </c>
      <c r="L124" s="282">
        <f t="shared" si="21"/>
        <v>1</v>
      </c>
      <c r="M124" s="282">
        <f t="shared" si="22"/>
        <v>1.018546218487395</v>
      </c>
      <c r="N124" s="310"/>
    </row>
    <row r="125" spans="1:14" ht="40.5" x14ac:dyDescent="0.3">
      <c r="A125" s="297"/>
      <c r="B125" s="297"/>
      <c r="C125" s="297"/>
      <c r="D125" s="298">
        <v>3672</v>
      </c>
      <c r="E125" s="306" t="s">
        <v>1052</v>
      </c>
      <c r="F125" s="300">
        <f>SUM('RASHODI ZA VIJEĆE'!E237:E238)</f>
        <v>116406.39999999999</v>
      </c>
      <c r="G125" s="300">
        <f>SUM('RASHODI ZA VIJEĆE'!F237:F238)</f>
        <v>242414</v>
      </c>
      <c r="H125" s="300">
        <f>SUM('RASHODI ZA VIJEĆE'!G237:G238)</f>
        <v>210000</v>
      </c>
      <c r="I125" s="300">
        <f>SUM('RASHODI ZA VIJEĆE'!H237:H238)</f>
        <v>238000</v>
      </c>
      <c r="J125" s="300">
        <f>SUM('RASHODI ZA VIJEĆE'!I237:I238)</f>
        <v>242414</v>
      </c>
      <c r="K125" s="301">
        <f t="shared" si="20"/>
        <v>2.0824800010995959</v>
      </c>
      <c r="L125" s="301">
        <f t="shared" si="21"/>
        <v>1</v>
      </c>
      <c r="M125" s="301">
        <f t="shared" si="22"/>
        <v>1.018546218487395</v>
      </c>
      <c r="N125" s="61"/>
    </row>
    <row r="126" spans="1:14" s="305" customFormat="1" ht="20.25" x14ac:dyDescent="0.3">
      <c r="A126" s="304"/>
      <c r="B126" s="304">
        <v>37</v>
      </c>
      <c r="C126" s="304"/>
      <c r="D126" s="280"/>
      <c r="E126" s="280" t="s">
        <v>21</v>
      </c>
      <c r="F126" s="281">
        <f>SUM(F127)</f>
        <v>128809.33999999998</v>
      </c>
      <c r="G126" s="281">
        <f>SUM(G127)</f>
        <v>298924.02999999997</v>
      </c>
      <c r="H126" s="281">
        <f>SUM(H127)</f>
        <v>347000</v>
      </c>
      <c r="I126" s="281">
        <f>SUM(I127)</f>
        <v>353300</v>
      </c>
      <c r="J126" s="281">
        <f>SUM(J127)</f>
        <v>298924.02999999997</v>
      </c>
      <c r="K126" s="282">
        <f t="shared" si="20"/>
        <v>2.3206704575925938</v>
      </c>
      <c r="L126" s="282">
        <f t="shared" si="21"/>
        <v>1</v>
      </c>
      <c r="M126" s="282">
        <f t="shared" si="22"/>
        <v>0.84609122558731942</v>
      </c>
      <c r="N126" s="310"/>
    </row>
    <row r="127" spans="1:14" s="305" customFormat="1" ht="20.25" x14ac:dyDescent="0.3">
      <c r="A127" s="304"/>
      <c r="B127" s="304"/>
      <c r="C127" s="304">
        <v>372</v>
      </c>
      <c r="D127" s="280"/>
      <c r="E127" s="280" t="s">
        <v>389</v>
      </c>
      <c r="F127" s="281">
        <f>SUM(F128:F129)</f>
        <v>128809.33999999998</v>
      </c>
      <c r="G127" s="281">
        <f>SUM(G128:G129)</f>
        <v>298924.02999999997</v>
      </c>
      <c r="H127" s="281">
        <f>SUM(H128:H129)</f>
        <v>347000</v>
      </c>
      <c r="I127" s="281">
        <f>SUM(I128:I129)</f>
        <v>353300</v>
      </c>
      <c r="J127" s="281">
        <f>SUM(J128:J129)</f>
        <v>298924.02999999997</v>
      </c>
      <c r="K127" s="282">
        <f t="shared" si="20"/>
        <v>2.3206704575925938</v>
      </c>
      <c r="L127" s="282">
        <f t="shared" si="21"/>
        <v>1</v>
      </c>
      <c r="M127" s="282">
        <f t="shared" si="22"/>
        <v>0.84609122558731942</v>
      </c>
      <c r="N127" s="310"/>
    </row>
    <row r="128" spans="1:14" ht="20.25" x14ac:dyDescent="0.3">
      <c r="A128" s="297"/>
      <c r="B128" s="297"/>
      <c r="C128" s="297"/>
      <c r="D128" s="298">
        <v>3721</v>
      </c>
      <c r="E128" s="298" t="s">
        <v>21</v>
      </c>
      <c r="F128" s="300">
        <f>SUM('RASHODI ZA VIJEĆE'!E243)</f>
        <v>71983.999999999985</v>
      </c>
      <c r="G128" s="300">
        <f>SUM('RASHODI ZA VIJEĆE'!F243)</f>
        <v>196603.62</v>
      </c>
      <c r="H128" s="300">
        <f>SUM('RASHODI ZA VIJEĆE'!G243)</f>
        <v>214000</v>
      </c>
      <c r="I128" s="300">
        <f>SUM('RASHODI ZA VIJEĆE'!H243)</f>
        <v>234500</v>
      </c>
      <c r="J128" s="300">
        <f>SUM('RASHODI ZA VIJEĆE'!I243)</f>
        <v>196603.62</v>
      </c>
      <c r="K128" s="301">
        <f t="shared" si="20"/>
        <v>2.7312127695043347</v>
      </c>
      <c r="L128" s="301">
        <f t="shared" si="21"/>
        <v>1</v>
      </c>
      <c r="M128" s="301">
        <f t="shared" si="22"/>
        <v>0.8383949680170576</v>
      </c>
      <c r="N128" s="61"/>
    </row>
    <row r="129" spans="1:14" ht="20.25" x14ac:dyDescent="0.3">
      <c r="A129" s="297"/>
      <c r="B129" s="297"/>
      <c r="C129" s="297"/>
      <c r="D129" s="298">
        <v>3722</v>
      </c>
      <c r="E129" s="298" t="s">
        <v>1053</v>
      </c>
      <c r="F129" s="300">
        <f>SUM('RASHODI ZA VIJEĆE'!E257)</f>
        <v>56825.34</v>
      </c>
      <c r="G129" s="300">
        <f>SUM('RASHODI ZA VIJEĆE'!F257)</f>
        <v>102320.40999999999</v>
      </c>
      <c r="H129" s="300">
        <f>SUM('RASHODI ZA VIJEĆE'!G257)</f>
        <v>133000</v>
      </c>
      <c r="I129" s="300">
        <f>SUM('RASHODI ZA VIJEĆE'!H257)</f>
        <v>118800</v>
      </c>
      <c r="J129" s="300">
        <f>SUM('RASHODI ZA VIJEĆE'!I257)</f>
        <v>102320.40999999999</v>
      </c>
      <c r="K129" s="301">
        <f t="shared" si="20"/>
        <v>1.8006123676514738</v>
      </c>
      <c r="L129" s="301">
        <f t="shared" si="21"/>
        <v>1</v>
      </c>
      <c r="M129" s="301">
        <f t="shared" si="22"/>
        <v>0.86128291245791233</v>
      </c>
      <c r="N129" s="61"/>
    </row>
    <row r="130" spans="1:14" s="305" customFormat="1" ht="20.25" x14ac:dyDescent="0.3">
      <c r="A130" s="304"/>
      <c r="B130" s="304">
        <v>38</v>
      </c>
      <c r="C130" s="304"/>
      <c r="D130" s="280"/>
      <c r="E130" s="280" t="s">
        <v>22</v>
      </c>
      <c r="F130" s="281">
        <f>SUM(F131+F133+F135)</f>
        <v>114616.46</v>
      </c>
      <c r="G130" s="281">
        <f>SUM(G131+G133+G135)</f>
        <v>206489.81999999998</v>
      </c>
      <c r="H130" s="281">
        <f>SUM(H131+H133+H135)</f>
        <v>213500</v>
      </c>
      <c r="I130" s="281">
        <f>SUM(I131+I133+I135)</f>
        <v>220900</v>
      </c>
      <c r="J130" s="281">
        <f>SUM(J131+J133+J135)</f>
        <v>206489.81999999998</v>
      </c>
      <c r="K130" s="282">
        <f t="shared" si="20"/>
        <v>1.8015721302158518</v>
      </c>
      <c r="L130" s="282">
        <f t="shared" si="21"/>
        <v>1</v>
      </c>
      <c r="M130" s="282">
        <f t="shared" si="22"/>
        <v>0.93476604798551366</v>
      </c>
      <c r="N130" s="310"/>
    </row>
    <row r="131" spans="1:14" s="305" customFormat="1" ht="20.25" x14ac:dyDescent="0.3">
      <c r="A131" s="304"/>
      <c r="B131" s="304"/>
      <c r="C131" s="304">
        <v>381</v>
      </c>
      <c r="D131" s="280"/>
      <c r="E131" s="280" t="s">
        <v>10</v>
      </c>
      <c r="F131" s="281">
        <f>SUM(F132)</f>
        <v>108239.97</v>
      </c>
      <c r="G131" s="281">
        <f>SUM(G132)</f>
        <v>199593.33</v>
      </c>
      <c r="H131" s="281">
        <f>SUM(H132)</f>
        <v>199000</v>
      </c>
      <c r="I131" s="281">
        <f>SUM(I132)</f>
        <v>210400</v>
      </c>
      <c r="J131" s="281">
        <f>SUM(J132)</f>
        <v>199593.33</v>
      </c>
      <c r="K131" s="282">
        <f t="shared" si="20"/>
        <v>1.8439891474471028</v>
      </c>
      <c r="L131" s="282">
        <f t="shared" si="21"/>
        <v>1</v>
      </c>
      <c r="M131" s="282">
        <f t="shared" si="22"/>
        <v>0.94863749999999991</v>
      </c>
      <c r="N131" s="310"/>
    </row>
    <row r="132" spans="1:14" ht="20.25" x14ac:dyDescent="0.3">
      <c r="A132" s="297"/>
      <c r="B132" s="297"/>
      <c r="C132" s="297"/>
      <c r="D132" s="298">
        <v>3811</v>
      </c>
      <c r="E132" s="298" t="s">
        <v>1054</v>
      </c>
      <c r="F132" s="300">
        <f>SUM('RASHODI ZA VIJEĆE'!E267)</f>
        <v>108239.97</v>
      </c>
      <c r="G132" s="300">
        <f>SUM('RASHODI ZA VIJEĆE'!F267)</f>
        <v>199593.33</v>
      </c>
      <c r="H132" s="300">
        <f>SUM('RASHODI ZA VIJEĆE'!G267)</f>
        <v>199000</v>
      </c>
      <c r="I132" s="300">
        <f>SUM('RASHODI ZA VIJEĆE'!H267)</f>
        <v>210400</v>
      </c>
      <c r="J132" s="300">
        <f>SUM('RASHODI ZA VIJEĆE'!I267)</f>
        <v>199593.33</v>
      </c>
      <c r="K132" s="301">
        <f t="shared" si="20"/>
        <v>1.8439891474471028</v>
      </c>
      <c r="L132" s="301">
        <f t="shared" si="21"/>
        <v>1</v>
      </c>
      <c r="M132" s="301">
        <f t="shared" si="22"/>
        <v>0.94863749999999991</v>
      </c>
      <c r="N132" s="61"/>
    </row>
    <row r="133" spans="1:14" s="305" customFormat="1" ht="20.25" x14ac:dyDescent="0.3">
      <c r="A133" s="304"/>
      <c r="B133" s="304"/>
      <c r="C133" s="304">
        <v>382</v>
      </c>
      <c r="D133" s="280"/>
      <c r="E133" s="280" t="s">
        <v>384</v>
      </c>
      <c r="F133" s="281">
        <f>SUM(F134)</f>
        <v>6376.49</v>
      </c>
      <c r="G133" s="281">
        <f>SUM(G134)</f>
        <v>6896.49</v>
      </c>
      <c r="H133" s="281">
        <f>SUM(H134)</f>
        <v>6500</v>
      </c>
      <c r="I133" s="281">
        <f>SUM(I134)</f>
        <v>10500</v>
      </c>
      <c r="J133" s="281">
        <f>SUM(J134)</f>
        <v>6896.49</v>
      </c>
      <c r="K133" s="282">
        <f t="shared" si="20"/>
        <v>1.0815495672384023</v>
      </c>
      <c r="L133" s="282">
        <f t="shared" si="21"/>
        <v>1</v>
      </c>
      <c r="M133" s="282">
        <f t="shared" si="22"/>
        <v>0.65680857142857141</v>
      </c>
      <c r="N133" s="310"/>
    </row>
    <row r="134" spans="1:14" ht="20.25" x14ac:dyDescent="0.3">
      <c r="A134" s="297"/>
      <c r="B134" s="297"/>
      <c r="C134" s="297"/>
      <c r="D134" s="298">
        <v>3821</v>
      </c>
      <c r="E134" s="298" t="s">
        <v>388</v>
      </c>
      <c r="F134" s="300">
        <f>SUM('RASHODI ZA VIJEĆE'!E331)</f>
        <v>6376.49</v>
      </c>
      <c r="G134" s="300">
        <f>SUM('RASHODI ZA VIJEĆE'!F331)</f>
        <v>6896.49</v>
      </c>
      <c r="H134" s="300">
        <f>SUM('RASHODI ZA VIJEĆE'!G331)</f>
        <v>6500</v>
      </c>
      <c r="I134" s="300">
        <f>SUM('RASHODI ZA VIJEĆE'!H331)</f>
        <v>10500</v>
      </c>
      <c r="J134" s="300">
        <f>SUM('RASHODI ZA VIJEĆE'!I331)</f>
        <v>6896.49</v>
      </c>
      <c r="K134" s="301">
        <f t="shared" si="20"/>
        <v>1.0815495672384023</v>
      </c>
      <c r="L134" s="301">
        <f t="shared" si="21"/>
        <v>1</v>
      </c>
      <c r="M134" s="301">
        <f t="shared" si="22"/>
        <v>0.65680857142857141</v>
      </c>
      <c r="N134" s="61"/>
    </row>
    <row r="135" spans="1:14" s="305" customFormat="1" ht="20.25" x14ac:dyDescent="0.3">
      <c r="A135" s="304"/>
      <c r="B135" s="304"/>
      <c r="C135" s="304">
        <v>383</v>
      </c>
      <c r="D135" s="280"/>
      <c r="E135" s="280" t="s">
        <v>385</v>
      </c>
      <c r="F135" s="281">
        <f>SUM(F136:F137)</f>
        <v>0</v>
      </c>
      <c r="G135" s="281">
        <f>SUM(G136:G137)</f>
        <v>0</v>
      </c>
      <c r="H135" s="281">
        <f>SUM(H136:H137)</f>
        <v>8000</v>
      </c>
      <c r="I135" s="281">
        <f>SUM(I136:I137)</f>
        <v>0</v>
      </c>
      <c r="J135" s="281">
        <f>SUM(J136:J137)</f>
        <v>0</v>
      </c>
      <c r="K135" s="282">
        <f t="shared" si="20"/>
        <v>0</v>
      </c>
      <c r="L135" s="282">
        <f t="shared" si="21"/>
        <v>0</v>
      </c>
      <c r="M135" s="282">
        <f t="shared" si="22"/>
        <v>0</v>
      </c>
      <c r="N135" s="310"/>
    </row>
    <row r="136" spans="1:14" ht="20.25" x14ac:dyDescent="0.3">
      <c r="A136" s="297"/>
      <c r="B136" s="297"/>
      <c r="C136" s="297"/>
      <c r="D136" s="298">
        <v>3831</v>
      </c>
      <c r="E136" s="298" t="s">
        <v>1055</v>
      </c>
      <c r="F136" s="300">
        <f>SUM('RASHODI ZA VIJEĆE'!E334)</f>
        <v>0</v>
      </c>
      <c r="G136" s="300">
        <f>SUM('RASHODI ZA VIJEĆE'!F334)</f>
        <v>0</v>
      </c>
      <c r="H136" s="300">
        <f>SUM('RASHODI ZA VIJEĆE'!G334)</f>
        <v>6500</v>
      </c>
      <c r="I136" s="300">
        <f>SUM('RASHODI ZA VIJEĆE'!H334)</f>
        <v>0</v>
      </c>
      <c r="J136" s="300">
        <f>SUM('RASHODI ZA VIJEĆE'!I334)</f>
        <v>0</v>
      </c>
      <c r="K136" s="301">
        <f t="shared" si="20"/>
        <v>0</v>
      </c>
      <c r="L136" s="301">
        <f t="shared" si="21"/>
        <v>0</v>
      </c>
      <c r="M136" s="301">
        <f t="shared" si="22"/>
        <v>0</v>
      </c>
      <c r="N136" s="61"/>
    </row>
    <row r="137" spans="1:14" ht="20.25" x14ac:dyDescent="0.3">
      <c r="A137" s="297"/>
      <c r="B137" s="297"/>
      <c r="C137" s="297"/>
      <c r="D137" s="298">
        <v>3835</v>
      </c>
      <c r="E137" s="298" t="s">
        <v>498</v>
      </c>
      <c r="F137" s="300">
        <f>SUM('RASHODI ZA VIJEĆE'!E336)</f>
        <v>0</v>
      </c>
      <c r="G137" s="300">
        <f>SUM('RASHODI ZA VIJEĆE'!F336)</f>
        <v>0</v>
      </c>
      <c r="H137" s="300">
        <f>SUM('RASHODI ZA VIJEĆE'!G336)</f>
        <v>1500</v>
      </c>
      <c r="I137" s="300">
        <f>SUM('RASHODI ZA VIJEĆE'!H336)</f>
        <v>0</v>
      </c>
      <c r="J137" s="300">
        <f>SUM('RASHODI ZA VIJEĆE'!I336)</f>
        <v>0</v>
      </c>
      <c r="K137" s="301">
        <f t="shared" si="20"/>
        <v>0</v>
      </c>
      <c r="L137" s="301">
        <f t="shared" si="21"/>
        <v>0</v>
      </c>
      <c r="M137" s="301">
        <f t="shared" si="22"/>
        <v>0</v>
      </c>
      <c r="N137" s="61"/>
    </row>
    <row r="138" spans="1:14" ht="20.25" x14ac:dyDescent="0.3">
      <c r="A138" s="61"/>
      <c r="B138" s="61"/>
      <c r="C138" s="61"/>
      <c r="D138" s="89"/>
      <c r="E138" s="89"/>
      <c r="F138" s="290"/>
      <c r="G138" s="290"/>
      <c r="H138" s="290"/>
      <c r="I138" s="290"/>
      <c r="J138" s="290"/>
      <c r="K138" s="272"/>
      <c r="L138" s="272"/>
      <c r="M138" s="272"/>
      <c r="N138" s="61"/>
    </row>
    <row r="139" spans="1:14" s="305" customFormat="1" ht="20.25" x14ac:dyDescent="0.3">
      <c r="A139" s="304">
        <v>4</v>
      </c>
      <c r="B139" s="304"/>
      <c r="C139" s="304"/>
      <c r="D139" s="280"/>
      <c r="E139" s="280" t="s">
        <v>11</v>
      </c>
      <c r="F139" s="281">
        <f>SUM(F140+F145+F157)</f>
        <v>164680.65999999997</v>
      </c>
      <c r="G139" s="281">
        <f>SUM(G140+G145+G157)</f>
        <v>651899.66000000015</v>
      </c>
      <c r="H139" s="281">
        <f>SUM(H140+H145+H157)</f>
        <v>1623500</v>
      </c>
      <c r="I139" s="281">
        <f>SUM(I140+I145+I157)</f>
        <v>751500</v>
      </c>
      <c r="J139" s="281">
        <f>SUM(J140+J145+J157)</f>
        <v>651899.66000000015</v>
      </c>
      <c r="K139" s="282">
        <f t="shared" si="20"/>
        <v>3.958568419631062</v>
      </c>
      <c r="L139" s="282">
        <f t="shared" si="21"/>
        <v>1</v>
      </c>
      <c r="M139" s="282">
        <f t="shared" ref="M139:M159" si="24">IFERROR(SUM(J139/I139),0)</f>
        <v>0.86746461743180325</v>
      </c>
      <c r="N139" s="310"/>
    </row>
    <row r="140" spans="1:14" s="305" customFormat="1" ht="20.25" x14ac:dyDescent="0.3">
      <c r="A140" s="304"/>
      <c r="B140" s="304">
        <v>41</v>
      </c>
      <c r="C140" s="304"/>
      <c r="D140" s="280"/>
      <c r="E140" s="280" t="s">
        <v>39</v>
      </c>
      <c r="F140" s="281">
        <f>SUM(F141+F143)</f>
        <v>16914.809999999998</v>
      </c>
      <c r="G140" s="281">
        <f>SUM(G141+G143)</f>
        <v>17298.809999999998</v>
      </c>
      <c r="H140" s="281">
        <f>SUM(H141+H143)</f>
        <v>8000</v>
      </c>
      <c r="I140" s="281">
        <f>SUM(I141+I143)</f>
        <v>18000</v>
      </c>
      <c r="J140" s="281">
        <f>SUM(J141+J143)</f>
        <v>17298.809999999998</v>
      </c>
      <c r="K140" s="282">
        <f t="shared" ref="K140:K159" si="25">IFERROR(SUM(J140/F140),0)</f>
        <v>1.0227019990174291</v>
      </c>
      <c r="L140" s="282">
        <f t="shared" ref="L140:L159" si="26">IFERROR(SUM(J140/G140),0)</f>
        <v>1</v>
      </c>
      <c r="M140" s="282">
        <f t="shared" si="24"/>
        <v>0.96104499999999982</v>
      </c>
      <c r="N140" s="310"/>
    </row>
    <row r="141" spans="1:14" s="305" customFormat="1" ht="20.25" x14ac:dyDescent="0.3">
      <c r="A141" s="304"/>
      <c r="B141" s="304"/>
      <c r="C141" s="304">
        <v>411</v>
      </c>
      <c r="D141" s="280"/>
      <c r="E141" s="280" t="s">
        <v>40</v>
      </c>
      <c r="F141" s="281">
        <f>SUM(F142)</f>
        <v>16384.8</v>
      </c>
      <c r="G141" s="281">
        <f>SUM(G142)</f>
        <v>16384.8</v>
      </c>
      <c r="H141" s="281">
        <f>SUM(H142)</f>
        <v>6500</v>
      </c>
      <c r="I141" s="281">
        <f>SUM(I142)</f>
        <v>16500</v>
      </c>
      <c r="J141" s="281">
        <f>SUM(J142)</f>
        <v>16384.8</v>
      </c>
      <c r="K141" s="282">
        <f t="shared" si="25"/>
        <v>1</v>
      </c>
      <c r="L141" s="282">
        <f t="shared" si="26"/>
        <v>1</v>
      </c>
      <c r="M141" s="282">
        <f t="shared" si="24"/>
        <v>0.9930181818181818</v>
      </c>
      <c r="N141" s="310"/>
    </row>
    <row r="142" spans="1:14" ht="20.25" x14ac:dyDescent="0.3">
      <c r="A142" s="297"/>
      <c r="B142" s="297"/>
      <c r="C142" s="297"/>
      <c r="D142" s="298">
        <v>4111</v>
      </c>
      <c r="E142" s="298" t="s">
        <v>40</v>
      </c>
      <c r="F142" s="300">
        <f>SUM('RASHODI ZA VIJEĆE'!E341)</f>
        <v>16384.8</v>
      </c>
      <c r="G142" s="300">
        <f>SUM('RASHODI ZA VIJEĆE'!F341)</f>
        <v>16384.8</v>
      </c>
      <c r="H142" s="300">
        <f>SUM('RASHODI ZA VIJEĆE'!G341)</f>
        <v>6500</v>
      </c>
      <c r="I142" s="300">
        <f>SUM('RASHODI ZA VIJEĆE'!H341)</f>
        <v>16500</v>
      </c>
      <c r="J142" s="300">
        <f>SUM('RASHODI ZA VIJEĆE'!I341)</f>
        <v>16384.8</v>
      </c>
      <c r="K142" s="301">
        <f t="shared" si="25"/>
        <v>1</v>
      </c>
      <c r="L142" s="301">
        <f t="shared" si="26"/>
        <v>1</v>
      </c>
      <c r="M142" s="301">
        <f t="shared" si="24"/>
        <v>0.9930181818181818</v>
      </c>
      <c r="N142" s="61"/>
    </row>
    <row r="143" spans="1:14" s="305" customFormat="1" ht="20.25" x14ac:dyDescent="0.3">
      <c r="A143" s="304"/>
      <c r="B143" s="304"/>
      <c r="C143" s="304">
        <v>412</v>
      </c>
      <c r="D143" s="280"/>
      <c r="E143" s="280" t="s">
        <v>41</v>
      </c>
      <c r="F143" s="281">
        <f>SUM(F144)</f>
        <v>530.01</v>
      </c>
      <c r="G143" s="281">
        <f>SUM(G144)</f>
        <v>914.01</v>
      </c>
      <c r="H143" s="281">
        <f>SUM(H144)</f>
        <v>1500</v>
      </c>
      <c r="I143" s="281">
        <f>SUM(I144)</f>
        <v>1500</v>
      </c>
      <c r="J143" s="281">
        <f>SUM(J144)</f>
        <v>914.01</v>
      </c>
      <c r="K143" s="282">
        <f t="shared" si="25"/>
        <v>1.7245146317994</v>
      </c>
      <c r="L143" s="282">
        <f t="shared" si="26"/>
        <v>1</v>
      </c>
      <c r="M143" s="282">
        <f t="shared" si="24"/>
        <v>0.60933999999999999</v>
      </c>
      <c r="N143" s="310"/>
    </row>
    <row r="144" spans="1:14" ht="20.25" x14ac:dyDescent="0.3">
      <c r="A144" s="297"/>
      <c r="B144" s="297"/>
      <c r="C144" s="297"/>
      <c r="D144" s="298">
        <v>4123</v>
      </c>
      <c r="E144" s="298" t="s">
        <v>41</v>
      </c>
      <c r="F144" s="300">
        <f>SUM('RASHODI ZA VIJEĆE'!E343)</f>
        <v>530.01</v>
      </c>
      <c r="G144" s="300">
        <f>SUM('RASHODI ZA VIJEĆE'!F343)</f>
        <v>914.01</v>
      </c>
      <c r="H144" s="300">
        <f>SUM('RASHODI ZA VIJEĆE'!G343)</f>
        <v>1500</v>
      </c>
      <c r="I144" s="300">
        <f>SUM('RASHODI ZA VIJEĆE'!H343)</f>
        <v>1500</v>
      </c>
      <c r="J144" s="300">
        <f>SUM('RASHODI ZA VIJEĆE'!I343)</f>
        <v>914.01</v>
      </c>
      <c r="K144" s="301">
        <f t="shared" si="25"/>
        <v>1.7245146317994</v>
      </c>
      <c r="L144" s="301">
        <f t="shared" si="26"/>
        <v>1</v>
      </c>
      <c r="M144" s="301">
        <f t="shared" si="24"/>
        <v>0.60933999999999999</v>
      </c>
      <c r="N144" s="61"/>
    </row>
    <row r="145" spans="1:14" s="305" customFormat="1" ht="20.25" x14ac:dyDescent="0.3">
      <c r="A145" s="304"/>
      <c r="B145" s="304">
        <v>42</v>
      </c>
      <c r="C145" s="304"/>
      <c r="D145" s="280"/>
      <c r="E145" s="280" t="s">
        <v>23</v>
      </c>
      <c r="F145" s="281">
        <f>SUM(F146+F150+F155)</f>
        <v>146933.03999999998</v>
      </c>
      <c r="G145" s="281">
        <f>SUM(G146+G150+G155)</f>
        <v>561109.04</v>
      </c>
      <c r="H145" s="281">
        <f>SUM(H146+H150+H155)</f>
        <v>1565500</v>
      </c>
      <c r="I145" s="281">
        <f>SUM(I146+I150+I155)</f>
        <v>653500</v>
      </c>
      <c r="J145" s="281">
        <f>SUM(J146+J150+J155)</f>
        <v>561109.04</v>
      </c>
      <c r="K145" s="282">
        <f t="shared" si="25"/>
        <v>3.818807805242443</v>
      </c>
      <c r="L145" s="282">
        <f t="shared" si="26"/>
        <v>1</v>
      </c>
      <c r="M145" s="282">
        <f t="shared" si="24"/>
        <v>0.85862133129303753</v>
      </c>
      <c r="N145" s="310"/>
    </row>
    <row r="146" spans="1:14" s="305" customFormat="1" ht="20.25" x14ac:dyDescent="0.3">
      <c r="A146" s="304"/>
      <c r="B146" s="304"/>
      <c r="C146" s="304">
        <v>421</v>
      </c>
      <c r="D146" s="280"/>
      <c r="E146" s="280" t="s">
        <v>12</v>
      </c>
      <c r="F146" s="281">
        <f>SUM(F147:F149)</f>
        <v>105456.81</v>
      </c>
      <c r="G146" s="281">
        <f>SUM(G147:G149)</f>
        <v>403489.43</v>
      </c>
      <c r="H146" s="281">
        <f>SUM(H147:H149)</f>
        <v>1477000</v>
      </c>
      <c r="I146" s="281">
        <f>SUM(I147:I149)</f>
        <v>503500</v>
      </c>
      <c r="J146" s="281">
        <f>SUM(J147:J149)</f>
        <v>403489.43</v>
      </c>
      <c r="K146" s="282">
        <f t="shared" si="25"/>
        <v>3.8261107082605665</v>
      </c>
      <c r="L146" s="282">
        <f t="shared" si="26"/>
        <v>1</v>
      </c>
      <c r="M146" s="282">
        <f t="shared" si="24"/>
        <v>0.80136927507447864</v>
      </c>
      <c r="N146" s="310"/>
    </row>
    <row r="147" spans="1:14" ht="20.25" x14ac:dyDescent="0.3">
      <c r="A147" s="297"/>
      <c r="B147" s="297"/>
      <c r="C147" s="297"/>
      <c r="D147" s="298">
        <v>4212</v>
      </c>
      <c r="E147" s="298" t="s">
        <v>1056</v>
      </c>
      <c r="F147" s="300">
        <f>SUM('RASHODI ZA VIJEĆE'!E347)</f>
        <v>41204.730000000003</v>
      </c>
      <c r="G147" s="300">
        <f>SUM('RASHODI ZA VIJEĆE'!F347)</f>
        <v>220143.12</v>
      </c>
      <c r="H147" s="300">
        <f>SUM('RASHODI ZA VIJEĆE'!G347)</f>
        <v>1320000</v>
      </c>
      <c r="I147" s="300">
        <f>SUM('RASHODI ZA VIJEĆE'!H347)</f>
        <v>250000</v>
      </c>
      <c r="J147" s="300">
        <f>SUM('RASHODI ZA VIJEĆE'!I347)</f>
        <v>220143.12</v>
      </c>
      <c r="K147" s="301">
        <f t="shared" si="25"/>
        <v>5.3426662424435252</v>
      </c>
      <c r="L147" s="301">
        <f t="shared" si="26"/>
        <v>1</v>
      </c>
      <c r="M147" s="301">
        <f t="shared" si="24"/>
        <v>0.88057247999999999</v>
      </c>
      <c r="N147" s="61"/>
    </row>
    <row r="148" spans="1:14" ht="20.25" x14ac:dyDescent="0.3">
      <c r="A148" s="297"/>
      <c r="B148" s="297"/>
      <c r="C148" s="297"/>
      <c r="D148" s="298">
        <v>4213</v>
      </c>
      <c r="E148" s="298" t="s">
        <v>1058</v>
      </c>
      <c r="F148" s="300">
        <f>SUM('RASHODI ZA VIJEĆE'!E362)</f>
        <v>0</v>
      </c>
      <c r="G148" s="300">
        <f>SUM('RASHODI ZA VIJEĆE'!F362)</f>
        <v>86149.24</v>
      </c>
      <c r="H148" s="300">
        <f>SUM('RASHODI ZA VIJEĆE'!G362)</f>
        <v>100000</v>
      </c>
      <c r="I148" s="300">
        <f>SUM('RASHODI ZA VIJEĆE'!H362)</f>
        <v>150000</v>
      </c>
      <c r="J148" s="300">
        <f>SUM('RASHODI ZA VIJEĆE'!I362)</f>
        <v>86149.24</v>
      </c>
      <c r="K148" s="301">
        <f t="shared" si="25"/>
        <v>0</v>
      </c>
      <c r="L148" s="301">
        <f t="shared" si="26"/>
        <v>1</v>
      </c>
      <c r="M148" s="301">
        <f t="shared" si="24"/>
        <v>0.5743282666666667</v>
      </c>
      <c r="N148" s="61"/>
    </row>
    <row r="149" spans="1:14" ht="20.25" x14ac:dyDescent="0.3">
      <c r="A149" s="297"/>
      <c r="B149" s="297"/>
      <c r="C149" s="297"/>
      <c r="D149" s="298">
        <v>4214</v>
      </c>
      <c r="E149" s="298" t="s">
        <v>1059</v>
      </c>
      <c r="F149" s="300">
        <f>SUM('RASHODI ZA VIJEĆE'!E366)</f>
        <v>64252.08</v>
      </c>
      <c r="G149" s="300">
        <f>SUM('RASHODI ZA VIJEĆE'!F366)</f>
        <v>97197.07</v>
      </c>
      <c r="H149" s="300">
        <f>SUM('RASHODI ZA VIJEĆE'!G366)</f>
        <v>57000</v>
      </c>
      <c r="I149" s="300">
        <f>SUM('RASHODI ZA VIJEĆE'!H366)</f>
        <v>103500</v>
      </c>
      <c r="J149" s="300">
        <f>SUM('RASHODI ZA VIJEĆE'!I366)</f>
        <v>97197.07</v>
      </c>
      <c r="K149" s="301">
        <f t="shared" si="25"/>
        <v>1.5127458908723266</v>
      </c>
      <c r="L149" s="301">
        <f t="shared" si="26"/>
        <v>1</v>
      </c>
      <c r="M149" s="301">
        <f t="shared" si="24"/>
        <v>0.93910212560386486</v>
      </c>
      <c r="N149" s="61"/>
    </row>
    <row r="150" spans="1:14" s="305" customFormat="1" ht="20.25" x14ac:dyDescent="0.3">
      <c r="A150" s="304"/>
      <c r="B150" s="304"/>
      <c r="C150" s="304">
        <v>422</v>
      </c>
      <c r="D150" s="280"/>
      <c r="E150" s="280" t="s">
        <v>42</v>
      </c>
      <c r="F150" s="281">
        <f>SUM(F151:F154)</f>
        <v>41476.229999999996</v>
      </c>
      <c r="G150" s="281">
        <f>SUM(G151:G154)</f>
        <v>157619.61000000002</v>
      </c>
      <c r="H150" s="281">
        <f>SUM(H151:H154)</f>
        <v>84500</v>
      </c>
      <c r="I150" s="281">
        <f>SUM(I151:I154)</f>
        <v>150000</v>
      </c>
      <c r="J150" s="281">
        <f>SUM(J151:J154)</f>
        <v>157619.61000000002</v>
      </c>
      <c r="K150" s="282">
        <f t="shared" si="25"/>
        <v>3.800239558899158</v>
      </c>
      <c r="L150" s="282">
        <f t="shared" si="26"/>
        <v>1</v>
      </c>
      <c r="M150" s="282">
        <f t="shared" si="24"/>
        <v>1.0507974</v>
      </c>
      <c r="N150" s="310"/>
    </row>
    <row r="151" spans="1:14" ht="20.25" x14ac:dyDescent="0.3">
      <c r="A151" s="297"/>
      <c r="B151" s="297"/>
      <c r="C151" s="297"/>
      <c r="D151" s="298">
        <v>4221</v>
      </c>
      <c r="E151" s="298" t="s">
        <v>837</v>
      </c>
      <c r="F151" s="312">
        <f>SUM('RASHODI ZA VIJEĆE'!E372)</f>
        <v>5351.05</v>
      </c>
      <c r="G151" s="312">
        <f>SUM('RASHODI ZA VIJEĆE'!F372)</f>
        <v>5891.6</v>
      </c>
      <c r="H151" s="312">
        <f>SUM('RASHODI ZA VIJEĆE'!G372)</f>
        <v>18500</v>
      </c>
      <c r="I151" s="312">
        <f>SUM('RASHODI ZA VIJEĆE'!H372)</f>
        <v>10000</v>
      </c>
      <c r="J151" s="312">
        <f>SUM('RASHODI ZA VIJEĆE'!I372)</f>
        <v>5891.6</v>
      </c>
      <c r="K151" s="301">
        <f t="shared" si="25"/>
        <v>1.1010175573018379</v>
      </c>
      <c r="L151" s="301">
        <f t="shared" si="26"/>
        <v>1</v>
      </c>
      <c r="M151" s="301">
        <f t="shared" si="24"/>
        <v>0.58916000000000002</v>
      </c>
      <c r="N151" s="61"/>
    </row>
    <row r="152" spans="1:14" ht="20.25" x14ac:dyDescent="0.3">
      <c r="A152" s="297"/>
      <c r="B152" s="297"/>
      <c r="C152" s="297"/>
      <c r="D152" s="298">
        <v>4223</v>
      </c>
      <c r="E152" s="298" t="s">
        <v>92</v>
      </c>
      <c r="F152" s="312">
        <f>SUM('RASHODI ZA VIJEĆE'!E377)</f>
        <v>0</v>
      </c>
      <c r="G152" s="312">
        <f>SUM('RASHODI ZA VIJEĆE'!F377)</f>
        <v>1349.99</v>
      </c>
      <c r="H152" s="312">
        <f>SUM('RASHODI ZA VIJEĆE'!G377)</f>
        <v>3000</v>
      </c>
      <c r="I152" s="312">
        <f>SUM('RASHODI ZA VIJEĆE'!H377)</f>
        <v>2000</v>
      </c>
      <c r="J152" s="312">
        <f>SUM('RASHODI ZA VIJEĆE'!I377)</f>
        <v>1349.99</v>
      </c>
      <c r="K152" s="301">
        <f t="shared" si="25"/>
        <v>0</v>
      </c>
      <c r="L152" s="301">
        <f t="shared" si="26"/>
        <v>1</v>
      </c>
      <c r="M152" s="301">
        <f t="shared" si="24"/>
        <v>0.67499500000000001</v>
      </c>
      <c r="N152" s="61"/>
    </row>
    <row r="153" spans="1:14" ht="20.25" x14ac:dyDescent="0.3">
      <c r="A153" s="297"/>
      <c r="B153" s="297"/>
      <c r="C153" s="297"/>
      <c r="D153" s="298">
        <v>4225</v>
      </c>
      <c r="E153" s="298" t="s">
        <v>93</v>
      </c>
      <c r="F153" s="312">
        <f>SUM('RASHODI ZA VIJEĆE'!E381)</f>
        <v>3734.38</v>
      </c>
      <c r="G153" s="312">
        <f>SUM('RASHODI ZA VIJEĆE'!F381)</f>
        <v>26996.63</v>
      </c>
      <c r="H153" s="312">
        <f>SUM('RASHODI ZA VIJEĆE'!G381)</f>
        <v>10000</v>
      </c>
      <c r="I153" s="312">
        <f>SUM('RASHODI ZA VIJEĆE'!H381)</f>
        <v>30000</v>
      </c>
      <c r="J153" s="312">
        <f>SUM('RASHODI ZA VIJEĆE'!I381)</f>
        <v>26996.63</v>
      </c>
      <c r="K153" s="301">
        <f t="shared" si="25"/>
        <v>7.2292134169527476</v>
      </c>
      <c r="L153" s="301">
        <f t="shared" si="26"/>
        <v>1</v>
      </c>
      <c r="M153" s="301">
        <f t="shared" si="24"/>
        <v>0.89988766666666675</v>
      </c>
      <c r="N153" s="61"/>
    </row>
    <row r="154" spans="1:14" ht="20.25" x14ac:dyDescent="0.3">
      <c r="A154" s="297"/>
      <c r="B154" s="297"/>
      <c r="C154" s="297"/>
      <c r="D154" s="298">
        <v>4227</v>
      </c>
      <c r="E154" s="298" t="s">
        <v>1057</v>
      </c>
      <c r="F154" s="312">
        <f>SUM('RASHODI ZA VIJEĆE'!E383+'RASHODI ZA VIJEĆE'!E384+'RASHODI ZA VIJEĆE'!E385)</f>
        <v>32390.799999999996</v>
      </c>
      <c r="G154" s="312">
        <f>SUM('RASHODI ZA VIJEĆE'!F383+'RASHODI ZA VIJEĆE'!F384+'RASHODI ZA VIJEĆE'!F385)</f>
        <v>123381.39000000001</v>
      </c>
      <c r="H154" s="312">
        <f>SUM('RASHODI ZA VIJEĆE'!G383+'RASHODI ZA VIJEĆE'!G384+'RASHODI ZA VIJEĆE'!G385)</f>
        <v>53000</v>
      </c>
      <c r="I154" s="312">
        <f>SUM('RASHODI ZA VIJEĆE'!H383+'RASHODI ZA VIJEĆE'!H384+'RASHODI ZA VIJEĆE'!H385)</f>
        <v>108000</v>
      </c>
      <c r="J154" s="312">
        <f>SUM('RASHODI ZA VIJEĆE'!I383+'RASHODI ZA VIJEĆE'!I384+'RASHODI ZA VIJEĆE'!I385)</f>
        <v>123381.39000000001</v>
      </c>
      <c r="K154" s="301">
        <f t="shared" si="25"/>
        <v>3.8091492028600724</v>
      </c>
      <c r="L154" s="301">
        <f t="shared" si="26"/>
        <v>1</v>
      </c>
      <c r="M154" s="301">
        <f t="shared" si="24"/>
        <v>1.1424202777777779</v>
      </c>
      <c r="N154" s="61"/>
    </row>
    <row r="155" spans="1:14" s="305" customFormat="1" ht="20.25" x14ac:dyDescent="0.3">
      <c r="A155" s="304"/>
      <c r="B155" s="304"/>
      <c r="C155" s="304">
        <v>424</v>
      </c>
      <c r="D155" s="280"/>
      <c r="E155" s="316" t="s">
        <v>43</v>
      </c>
      <c r="F155" s="281">
        <f>SUM(F156)</f>
        <v>0</v>
      </c>
      <c r="G155" s="281">
        <f>SUM(G156)</f>
        <v>0</v>
      </c>
      <c r="H155" s="281">
        <f>SUM(H156)</f>
        <v>4000</v>
      </c>
      <c r="I155" s="281">
        <f>SUM(I156)</f>
        <v>0</v>
      </c>
      <c r="J155" s="281">
        <f>SUM(J156)</f>
        <v>0</v>
      </c>
      <c r="K155" s="282">
        <f t="shared" si="25"/>
        <v>0</v>
      </c>
      <c r="L155" s="282">
        <f t="shared" si="26"/>
        <v>0</v>
      </c>
      <c r="M155" s="282">
        <f t="shared" si="24"/>
        <v>0</v>
      </c>
      <c r="N155" s="310"/>
    </row>
    <row r="156" spans="1:14" ht="20.25" x14ac:dyDescent="0.3">
      <c r="A156" s="297"/>
      <c r="B156" s="297"/>
      <c r="C156" s="297"/>
      <c r="D156" s="298">
        <v>4242</v>
      </c>
      <c r="E156" s="306" t="s">
        <v>1060</v>
      </c>
      <c r="F156" s="300">
        <f>SUM('RASHODI ZA VIJEĆE'!E391)</f>
        <v>0</v>
      </c>
      <c r="G156" s="300">
        <f>SUM('RASHODI ZA VIJEĆE'!F391)</f>
        <v>0</v>
      </c>
      <c r="H156" s="300">
        <f>SUM('RASHODI ZA VIJEĆE'!G391)</f>
        <v>4000</v>
      </c>
      <c r="I156" s="300">
        <f>SUM('RASHODI ZA VIJEĆE'!H391)</f>
        <v>0</v>
      </c>
      <c r="J156" s="300">
        <f>SUM('RASHODI ZA VIJEĆE'!I391)</f>
        <v>0</v>
      </c>
      <c r="K156" s="301">
        <f t="shared" si="25"/>
        <v>0</v>
      </c>
      <c r="L156" s="301">
        <f t="shared" si="26"/>
        <v>0</v>
      </c>
      <c r="M156" s="301">
        <f t="shared" si="24"/>
        <v>0</v>
      </c>
      <c r="N156" s="61"/>
    </row>
    <row r="157" spans="1:14" s="305" customFormat="1" ht="20.25" x14ac:dyDescent="0.3">
      <c r="A157" s="304"/>
      <c r="B157" s="304">
        <v>45</v>
      </c>
      <c r="C157" s="304"/>
      <c r="D157" s="280"/>
      <c r="E157" s="316" t="s">
        <v>432</v>
      </c>
      <c r="F157" s="281">
        <f>SUM(F158)</f>
        <v>832.81</v>
      </c>
      <c r="G157" s="281">
        <f t="shared" ref="G157:J158" si="27">SUM(G158)</f>
        <v>73491.81</v>
      </c>
      <c r="H157" s="281">
        <f t="shared" si="27"/>
        <v>50000</v>
      </c>
      <c r="I157" s="281">
        <f t="shared" si="27"/>
        <v>80000</v>
      </c>
      <c r="J157" s="281">
        <f t="shared" si="27"/>
        <v>73491.81</v>
      </c>
      <c r="K157" s="282">
        <f t="shared" si="25"/>
        <v>88.24559023066486</v>
      </c>
      <c r="L157" s="282">
        <f t="shared" si="26"/>
        <v>1</v>
      </c>
      <c r="M157" s="282">
        <f t="shared" si="24"/>
        <v>0.91864762499999997</v>
      </c>
      <c r="N157" s="310"/>
    </row>
    <row r="158" spans="1:14" s="305" customFormat="1" ht="20.25" x14ac:dyDescent="0.3">
      <c r="A158" s="304"/>
      <c r="B158" s="304"/>
      <c r="C158" s="304">
        <v>451</v>
      </c>
      <c r="D158" s="280"/>
      <c r="E158" s="316" t="s">
        <v>433</v>
      </c>
      <c r="F158" s="281">
        <f>SUM(F159)</f>
        <v>832.81</v>
      </c>
      <c r="G158" s="281">
        <f t="shared" si="27"/>
        <v>73491.81</v>
      </c>
      <c r="H158" s="281">
        <f t="shared" si="27"/>
        <v>50000</v>
      </c>
      <c r="I158" s="281">
        <f t="shared" si="27"/>
        <v>80000</v>
      </c>
      <c r="J158" s="281">
        <f t="shared" si="27"/>
        <v>73491.81</v>
      </c>
      <c r="K158" s="282">
        <f t="shared" si="25"/>
        <v>88.24559023066486</v>
      </c>
      <c r="L158" s="282">
        <f t="shared" si="26"/>
        <v>1</v>
      </c>
      <c r="M158" s="282">
        <f t="shared" si="24"/>
        <v>0.91864762499999997</v>
      </c>
      <c r="N158" s="310"/>
    </row>
    <row r="159" spans="1:14" ht="20.25" x14ac:dyDescent="0.3">
      <c r="A159" s="297"/>
      <c r="B159" s="297"/>
      <c r="C159" s="297"/>
      <c r="D159" s="298">
        <v>4511</v>
      </c>
      <c r="E159" s="306" t="s">
        <v>433</v>
      </c>
      <c r="F159" s="300">
        <f>SUM('RASHODI ZA VIJEĆE'!E392)</f>
        <v>832.81</v>
      </c>
      <c r="G159" s="300">
        <f>SUM('RASHODI ZA VIJEĆE'!F392)</f>
        <v>73491.81</v>
      </c>
      <c r="H159" s="300">
        <f>SUM('RASHODI ZA VIJEĆE'!G392)</f>
        <v>50000</v>
      </c>
      <c r="I159" s="300">
        <f>SUM('RASHODI ZA VIJEĆE'!H392)</f>
        <v>80000</v>
      </c>
      <c r="J159" s="300">
        <f>SUM('RASHODI ZA VIJEĆE'!I392)</f>
        <v>73491.81</v>
      </c>
      <c r="K159" s="301">
        <f t="shared" si="25"/>
        <v>88.24559023066486</v>
      </c>
      <c r="L159" s="301">
        <f t="shared" si="26"/>
        <v>1</v>
      </c>
      <c r="M159" s="301">
        <f t="shared" si="24"/>
        <v>0.91864762499999997</v>
      </c>
      <c r="N159" s="61"/>
    </row>
    <row r="160" spans="1:14" ht="20.25" x14ac:dyDescent="0.3">
      <c r="A160" s="61"/>
      <c r="B160" s="61"/>
      <c r="C160" s="61"/>
      <c r="D160" s="61"/>
      <c r="E160" s="61"/>
      <c r="F160" s="89"/>
      <c r="G160" s="89"/>
      <c r="H160" s="89"/>
      <c r="I160" s="290"/>
      <c r="J160" s="290"/>
      <c r="K160" s="309"/>
      <c r="L160" s="61"/>
      <c r="M160" s="61"/>
      <c r="N160" s="61"/>
    </row>
  </sheetData>
  <mergeCells count="7">
    <mergeCell ref="A70:E70"/>
    <mergeCell ref="A71:E71"/>
    <mergeCell ref="A9:E9"/>
    <mergeCell ref="A8:E8"/>
    <mergeCell ref="A1:M1"/>
    <mergeCell ref="A3:M3"/>
    <mergeCell ref="A5:M5"/>
  </mergeCells>
  <pageMargins left="0.39370078740157483" right="0.39370078740157483" top="0.59055118110236227" bottom="0.39370078740157483" header="0.31496062992125984" footer="0.31496062992125984"/>
  <pageSetup paperSize="9" scale="53" firstPageNumber="3" fitToHeight="0" orientation="landscape" useFirstPageNumber="1" r:id="rId1"/>
  <headerFooter>
    <oddFooter>&amp;R&amp;14&amp;P</oddFooter>
    <evenFooter>&amp;R3</evenFooter>
    <firstFooter>&amp;R&amp;12 2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8">
    <pageSetUpPr fitToPage="1"/>
  </sheetPr>
  <dimension ref="A1:L170"/>
  <sheetViews>
    <sheetView view="pageBreakPreview" topLeftCell="A16" zoomScaleNormal="100" zoomScaleSheetLayoutView="100" workbookViewId="0">
      <selection activeCell="J30" sqref="J30"/>
    </sheetView>
  </sheetViews>
  <sheetFormatPr defaultRowHeight="20.25" x14ac:dyDescent="0.3"/>
  <cols>
    <col min="1" max="1" width="7.7109375" style="89" customWidth="1"/>
    <col min="2" max="2" width="75.7109375" style="89" customWidth="1"/>
    <col min="3" max="7" width="20.7109375" style="89" customWidth="1"/>
    <col min="8" max="10" width="15.7109375" style="89" customWidth="1"/>
    <col min="11" max="11" width="9.140625" style="89"/>
    <col min="12" max="12" width="145.140625" style="89" customWidth="1"/>
    <col min="13" max="16384" width="9.140625" style="89"/>
  </cols>
  <sheetData>
    <row r="1" spans="1:12" ht="22.5" x14ac:dyDescent="0.3">
      <c r="A1" s="457" t="s">
        <v>1010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2" x14ac:dyDescent="0.3">
      <c r="A2" s="455"/>
      <c r="B2" s="455"/>
      <c r="C2" s="455"/>
      <c r="D2" s="455"/>
      <c r="E2" s="455"/>
      <c r="F2" s="455"/>
      <c r="G2" s="455"/>
      <c r="H2" s="455"/>
      <c r="I2" s="455"/>
      <c r="J2" s="455"/>
    </row>
    <row r="3" spans="1:12" ht="18.75" customHeight="1" x14ac:dyDescent="0.3">
      <c r="A3" s="457" t="s">
        <v>1065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2" x14ac:dyDescent="0.3">
      <c r="A4" s="462"/>
      <c r="B4" s="462"/>
      <c r="C4" s="462"/>
      <c r="D4" s="462"/>
      <c r="E4" s="462"/>
      <c r="F4" s="462"/>
      <c r="G4" s="462"/>
      <c r="H4" s="462"/>
      <c r="I4" s="462"/>
      <c r="J4" s="462"/>
    </row>
    <row r="5" spans="1:12" ht="22.5" x14ac:dyDescent="0.3">
      <c r="A5" s="457" t="s">
        <v>1067</v>
      </c>
      <c r="B5" s="457"/>
      <c r="C5" s="457"/>
      <c r="D5" s="457"/>
      <c r="E5" s="457"/>
      <c r="F5" s="457"/>
      <c r="G5" s="457"/>
      <c r="H5" s="457"/>
      <c r="I5" s="457"/>
      <c r="J5" s="457"/>
    </row>
    <row r="6" spans="1:12" ht="22.5" x14ac:dyDescent="0.3">
      <c r="A6" s="288"/>
      <c r="B6" s="288"/>
      <c r="C6" s="288"/>
      <c r="D6" s="288"/>
      <c r="E6" s="288"/>
      <c r="F6" s="288"/>
      <c r="G6" s="288"/>
      <c r="H6" s="288"/>
      <c r="I6" s="288"/>
      <c r="J6" s="288"/>
    </row>
    <row r="7" spans="1:12" x14ac:dyDescent="0.3">
      <c r="A7" s="137" t="s">
        <v>1078</v>
      </c>
    </row>
    <row r="8" spans="1:12" ht="60.75" x14ac:dyDescent="0.3">
      <c r="A8" s="461" t="s">
        <v>1039</v>
      </c>
      <c r="B8" s="461"/>
      <c r="C8" s="276" t="s">
        <v>1014</v>
      </c>
      <c r="D8" s="276" t="s">
        <v>1015</v>
      </c>
      <c r="E8" s="276" t="s">
        <v>1013</v>
      </c>
      <c r="F8" s="276" t="s">
        <v>979</v>
      </c>
      <c r="G8" s="276" t="s">
        <v>1112</v>
      </c>
      <c r="H8" s="277" t="s">
        <v>1011</v>
      </c>
      <c r="I8" s="277" t="s">
        <v>1009</v>
      </c>
      <c r="J8" s="277" t="s">
        <v>1012</v>
      </c>
    </row>
    <row r="9" spans="1:12" x14ac:dyDescent="0.3">
      <c r="A9" s="458">
        <v>1</v>
      </c>
      <c r="B9" s="458"/>
      <c r="C9" s="295">
        <v>2</v>
      </c>
      <c r="D9" s="296">
        <v>3</v>
      </c>
      <c r="E9" s="295">
        <v>4</v>
      </c>
      <c r="F9" s="295">
        <v>5</v>
      </c>
      <c r="G9" s="295">
        <v>6</v>
      </c>
      <c r="H9" s="295"/>
      <c r="I9" s="295"/>
      <c r="J9" s="295"/>
    </row>
    <row r="10" spans="1:12" s="322" customFormat="1" x14ac:dyDescent="0.3">
      <c r="A10" s="320"/>
      <c r="B10" s="321" t="s">
        <v>1062</v>
      </c>
      <c r="C10" s="328">
        <f>SUM(C11+C13+C15+C17+C19+C21)</f>
        <v>1391152.02</v>
      </c>
      <c r="D10" s="328">
        <f>SUM(D11+D13+D15+D17+D19+D21)</f>
        <v>2908845.1999999997</v>
      </c>
      <c r="E10" s="328">
        <f>SUM(E11+E13+E15+E17+E19+E21)</f>
        <v>2195000</v>
      </c>
      <c r="F10" s="328">
        <f>SUM(F11+F13+F15+F17+F19+F21)</f>
        <v>1674300</v>
      </c>
      <c r="G10" s="328">
        <f>SUM(G11+G13+G15+G17+G19+G21)</f>
        <v>2908845.1999999997</v>
      </c>
      <c r="H10" s="329">
        <f>IFERROR(SUM(G10/C10),0)</f>
        <v>2.0909614177176694</v>
      </c>
      <c r="I10" s="329">
        <f>IFERROR(SUM(G10/D10),0)</f>
        <v>1</v>
      </c>
      <c r="J10" s="329">
        <f t="shared" ref="J10:J22" si="0">IFERROR(SUM(G10/F10),0)</f>
        <v>1.7373500567401301</v>
      </c>
    </row>
    <row r="11" spans="1:12" s="322" customFormat="1" x14ac:dyDescent="0.3">
      <c r="A11" s="320">
        <v>1</v>
      </c>
      <c r="B11" s="323" t="s">
        <v>531</v>
      </c>
      <c r="C11" s="328">
        <f>SUM(C12)</f>
        <v>693567.63</v>
      </c>
      <c r="D11" s="328">
        <f>SUM(D12)</f>
        <v>1433652.98</v>
      </c>
      <c r="E11" s="328">
        <f>SUM(E12)</f>
        <v>65000</v>
      </c>
      <c r="F11" s="328">
        <f>SUM(F12)</f>
        <v>155000</v>
      </c>
      <c r="G11" s="328">
        <f>SUM(G12)</f>
        <v>1433652.98</v>
      </c>
      <c r="H11" s="329">
        <f>IFERROR(SUM(G11/C11),0)</f>
        <v>2.0670702004936419</v>
      </c>
      <c r="I11" s="329">
        <f>IFERROR(SUM(G11/D11),0)</f>
        <v>1</v>
      </c>
      <c r="J11" s="329">
        <f t="shared" si="0"/>
        <v>9.2493740645161289</v>
      </c>
    </row>
    <row r="12" spans="1:12" x14ac:dyDescent="0.3">
      <c r="A12" s="298">
        <v>11</v>
      </c>
      <c r="B12" s="298" t="s">
        <v>531</v>
      </c>
      <c r="C12" s="330">
        <f>SUMIFS('PRIHODI ZA VIJEĆE '!D17:D132,'PRIHODI ZA VIJEĆE '!K17:K132,"11")</f>
        <v>693567.63</v>
      </c>
      <c r="D12" s="330">
        <f>SUMIFS('PRIHODI ZA VIJEĆE '!E17:E132,'PRIHODI ZA VIJEĆE '!L17:L132,"11")</f>
        <v>1433652.98</v>
      </c>
      <c r="E12" s="330">
        <f>SUMIFS('PRIHODI ZA VIJEĆE '!F17:F132,'PRIHODI ZA VIJEĆE '!M17:M132,"11")</f>
        <v>65000</v>
      </c>
      <c r="F12" s="330">
        <f>SUMIFS('PRIHODI ZA VIJEĆE '!G17:G132,'PRIHODI ZA VIJEĆE '!N17:N132,"11")</f>
        <v>155000</v>
      </c>
      <c r="G12" s="330">
        <f>SUMIFS('PRIHODI ZA VIJEĆE '!H17:H132,'PRIHODI ZA VIJEĆE '!O17:O132,"11")</f>
        <v>1433652.98</v>
      </c>
      <c r="H12" s="331">
        <f>IFERROR(SUM(G12/C12),0)</f>
        <v>2.0670702004936419</v>
      </c>
      <c r="I12" s="331">
        <f>IFERROR(SUM(G12/D12),0)</f>
        <v>1</v>
      </c>
      <c r="J12" s="331">
        <f t="shared" si="0"/>
        <v>9.2493740645161289</v>
      </c>
    </row>
    <row r="13" spans="1:12" s="273" customFormat="1" x14ac:dyDescent="0.3">
      <c r="A13" s="324">
        <v>2</v>
      </c>
      <c r="B13" s="280" t="s">
        <v>532</v>
      </c>
      <c r="C13" s="332">
        <f>SUM(C14)</f>
        <v>15624.46</v>
      </c>
      <c r="D13" s="332">
        <f>SUM(D14)</f>
        <v>17742.59</v>
      </c>
      <c r="E13" s="332">
        <f>SUM(E14)</f>
        <v>17500</v>
      </c>
      <c r="F13" s="332">
        <f>SUM(F14)</f>
        <v>32100</v>
      </c>
      <c r="G13" s="332">
        <f>SUM(G14)</f>
        <v>17742.59</v>
      </c>
      <c r="H13" s="329">
        <f t="shared" ref="H13:H22" si="1">IFERROR(SUM(G13/C13),0)</f>
        <v>1.1355650051265773</v>
      </c>
      <c r="I13" s="329">
        <f t="shared" ref="I13:I22" si="2">IFERROR(SUM(G13/D13),0)</f>
        <v>1</v>
      </c>
      <c r="J13" s="329">
        <f t="shared" si="0"/>
        <v>0.55272866043613711</v>
      </c>
    </row>
    <row r="14" spans="1:12" x14ac:dyDescent="0.3">
      <c r="A14" s="298">
        <v>21</v>
      </c>
      <c r="B14" s="298" t="s">
        <v>532</v>
      </c>
      <c r="C14" s="330">
        <f>SUMIFS('PRIHODI ZA VIJEĆE '!D17:D132,'PRIHODI ZA VIJEĆE '!K17:K132,"21")</f>
        <v>15624.46</v>
      </c>
      <c r="D14" s="330">
        <f>SUMIFS('PRIHODI ZA VIJEĆE '!E17:E132,'PRIHODI ZA VIJEĆE '!L17:L132,"21")</f>
        <v>17742.59</v>
      </c>
      <c r="E14" s="330">
        <f>SUMIFS('PRIHODI ZA VIJEĆE '!F17:F132,'PRIHODI ZA VIJEĆE '!M17:M132,"21")</f>
        <v>17500</v>
      </c>
      <c r="F14" s="330">
        <f>SUMIFS('PRIHODI ZA VIJEĆE '!G17:G132,'PRIHODI ZA VIJEĆE '!N17:N132,"21")</f>
        <v>32100</v>
      </c>
      <c r="G14" s="330">
        <f>SUMIFS('PRIHODI ZA VIJEĆE '!H17:H132,'PRIHODI ZA VIJEĆE '!O17:O132,"21")</f>
        <v>17742.59</v>
      </c>
      <c r="H14" s="331">
        <f t="shared" si="1"/>
        <v>1.1355650051265773</v>
      </c>
      <c r="I14" s="331">
        <f t="shared" si="2"/>
        <v>1</v>
      </c>
      <c r="J14" s="331">
        <f t="shared" si="0"/>
        <v>0.55272866043613711</v>
      </c>
    </row>
    <row r="15" spans="1:12" s="273" customFormat="1" x14ac:dyDescent="0.3">
      <c r="A15" s="324">
        <v>3</v>
      </c>
      <c r="B15" s="280" t="s">
        <v>533</v>
      </c>
      <c r="C15" s="332">
        <f>SUM(C16)</f>
        <v>64818.78</v>
      </c>
      <c r="D15" s="332">
        <f>SUM(D16)</f>
        <v>123397.15</v>
      </c>
      <c r="E15" s="332">
        <f>SUM(E16)</f>
        <v>139000</v>
      </c>
      <c r="F15" s="332">
        <f>SUM(F16)</f>
        <v>94200</v>
      </c>
      <c r="G15" s="332">
        <f>SUM(G16)</f>
        <v>123397.15</v>
      </c>
      <c r="H15" s="329">
        <f t="shared" si="1"/>
        <v>1.9037252783838263</v>
      </c>
      <c r="I15" s="329">
        <f t="shared" si="2"/>
        <v>1</v>
      </c>
      <c r="J15" s="329">
        <f t="shared" si="0"/>
        <v>1.3099485138004245</v>
      </c>
    </row>
    <row r="16" spans="1:12" x14ac:dyDescent="0.3">
      <c r="A16" s="298">
        <v>31</v>
      </c>
      <c r="B16" s="298" t="s">
        <v>533</v>
      </c>
      <c r="C16" s="330">
        <f>SUMIFS('PRIHODI ZA VIJEĆE '!D17:D132,'PRIHODI ZA VIJEĆE '!K17:K132,"31")</f>
        <v>64818.78</v>
      </c>
      <c r="D16" s="330">
        <f>SUMIFS('PRIHODI ZA VIJEĆE '!E17:E132,'PRIHODI ZA VIJEĆE '!L17:L132,"31")</f>
        <v>123397.15</v>
      </c>
      <c r="E16" s="330">
        <f>SUMIFS('PRIHODI ZA VIJEĆE '!F17:F132,'PRIHODI ZA VIJEĆE '!M17:M132,"31")</f>
        <v>139000</v>
      </c>
      <c r="F16" s="330">
        <f>SUMIFS('PRIHODI ZA VIJEĆE '!G17:G132,'PRIHODI ZA VIJEĆE '!N17:N132,"31")</f>
        <v>94200</v>
      </c>
      <c r="G16" s="330">
        <f>SUMIFS('PRIHODI ZA VIJEĆE '!H17:H132,'PRIHODI ZA VIJEĆE '!O17:O132,"31")</f>
        <v>123397.15</v>
      </c>
      <c r="H16" s="331">
        <f t="shared" si="1"/>
        <v>1.9037252783838263</v>
      </c>
      <c r="I16" s="331">
        <f t="shared" si="2"/>
        <v>1</v>
      </c>
      <c r="J16" s="331">
        <f t="shared" si="0"/>
        <v>1.3099485138004245</v>
      </c>
      <c r="L16" s="317"/>
    </row>
    <row r="17" spans="1:12" s="273" customFormat="1" x14ac:dyDescent="0.3">
      <c r="A17" s="324">
        <v>4</v>
      </c>
      <c r="B17" s="280" t="s">
        <v>534</v>
      </c>
      <c r="C17" s="332">
        <f>SUM(C18)</f>
        <v>613448.95999999996</v>
      </c>
      <c r="D17" s="332">
        <f>SUM(D18)</f>
        <v>1287615.18</v>
      </c>
      <c r="E17" s="332">
        <f>SUM(E18)</f>
        <v>1929000</v>
      </c>
      <c r="F17" s="332">
        <f>SUM(F18)</f>
        <v>1339000</v>
      </c>
      <c r="G17" s="332">
        <f>SUM(G18)</f>
        <v>1287615.18</v>
      </c>
      <c r="H17" s="329">
        <f t="shared" si="1"/>
        <v>2.0989768733164045</v>
      </c>
      <c r="I17" s="329">
        <f t="shared" si="2"/>
        <v>1</v>
      </c>
      <c r="J17" s="329">
        <f t="shared" si="0"/>
        <v>0.96162448095593722</v>
      </c>
      <c r="L17" s="325"/>
    </row>
    <row r="18" spans="1:12" x14ac:dyDescent="0.3">
      <c r="A18" s="298">
        <v>41</v>
      </c>
      <c r="B18" s="298" t="s">
        <v>534</v>
      </c>
      <c r="C18" s="330">
        <f>SUMIFS('PRIHODI ZA VIJEĆE '!D17:D132,'PRIHODI ZA VIJEĆE '!K17:K132,"41")</f>
        <v>613448.95999999996</v>
      </c>
      <c r="D18" s="330">
        <f>SUMIFS('PRIHODI ZA VIJEĆE '!E17:E132,'PRIHODI ZA VIJEĆE '!L17:L132,"41")</f>
        <v>1287615.18</v>
      </c>
      <c r="E18" s="330">
        <f>SUMIFS('PRIHODI ZA VIJEĆE '!F17:F132,'PRIHODI ZA VIJEĆE '!M17:M132,"41")</f>
        <v>1929000</v>
      </c>
      <c r="F18" s="330">
        <f>SUMIFS('PRIHODI ZA VIJEĆE '!G17:G132,'PRIHODI ZA VIJEĆE '!N17:N132,"41")</f>
        <v>1339000</v>
      </c>
      <c r="G18" s="330">
        <f>SUMIFS('PRIHODI ZA VIJEĆE '!H17:H132,'PRIHODI ZA VIJEĆE '!O17:O132,"41")</f>
        <v>1287615.18</v>
      </c>
      <c r="H18" s="331">
        <f t="shared" si="1"/>
        <v>2.0989768733164045</v>
      </c>
      <c r="I18" s="331">
        <f t="shared" si="2"/>
        <v>1</v>
      </c>
      <c r="J18" s="331">
        <f t="shared" si="0"/>
        <v>0.96162448095593722</v>
      </c>
      <c r="L18" s="318"/>
    </row>
    <row r="19" spans="1:12" s="273" customFormat="1" x14ac:dyDescent="0.3">
      <c r="A19" s="324">
        <v>5</v>
      </c>
      <c r="B19" s="280" t="s">
        <v>535</v>
      </c>
      <c r="C19" s="332">
        <f>SUM(C20)</f>
        <v>0</v>
      </c>
      <c r="D19" s="332">
        <f>SUM(D20)</f>
        <v>0</v>
      </c>
      <c r="E19" s="332">
        <f>SUM(E20)</f>
        <v>4000</v>
      </c>
      <c r="F19" s="332">
        <f>SUM(F20)</f>
        <v>4000</v>
      </c>
      <c r="G19" s="332">
        <f>SUM(G20)</f>
        <v>0</v>
      </c>
      <c r="H19" s="329">
        <f t="shared" si="1"/>
        <v>0</v>
      </c>
      <c r="I19" s="329">
        <f t="shared" si="2"/>
        <v>0</v>
      </c>
      <c r="J19" s="329">
        <f t="shared" si="0"/>
        <v>0</v>
      </c>
      <c r="L19" s="326"/>
    </row>
    <row r="20" spans="1:12" x14ac:dyDescent="0.3">
      <c r="A20" s="298">
        <v>51</v>
      </c>
      <c r="B20" s="298" t="s">
        <v>535</v>
      </c>
      <c r="C20" s="330">
        <f>SUMIFS('PRIHODI ZA VIJEĆE '!D17:D132,'PRIHODI ZA VIJEĆE '!K17:K132,"51")</f>
        <v>0</v>
      </c>
      <c r="D20" s="330">
        <f>SUMIFS('PRIHODI ZA VIJEĆE '!E17:E132,'PRIHODI ZA VIJEĆE '!L17:L132,"51")</f>
        <v>0</v>
      </c>
      <c r="E20" s="330">
        <f>SUMIFS('PRIHODI ZA VIJEĆE '!F17:F132,'PRIHODI ZA VIJEĆE '!M17:M132,"51")</f>
        <v>4000</v>
      </c>
      <c r="F20" s="330">
        <f>SUMIFS('PRIHODI ZA VIJEĆE '!G17:G132,'PRIHODI ZA VIJEĆE '!N17:N132,"51")</f>
        <v>4000</v>
      </c>
      <c r="G20" s="330">
        <f>SUMIFS('PRIHODI ZA VIJEĆE '!H17:H132,'PRIHODI ZA VIJEĆE '!O17:O132,"51")</f>
        <v>0</v>
      </c>
      <c r="H20" s="331">
        <f t="shared" si="1"/>
        <v>0</v>
      </c>
      <c r="I20" s="331">
        <f t="shared" si="2"/>
        <v>0</v>
      </c>
      <c r="J20" s="331">
        <f t="shared" si="0"/>
        <v>0</v>
      </c>
      <c r="L20" s="318"/>
    </row>
    <row r="21" spans="1:12" s="273" customFormat="1" x14ac:dyDescent="0.3">
      <c r="A21" s="324">
        <v>6</v>
      </c>
      <c r="B21" s="280" t="s">
        <v>560</v>
      </c>
      <c r="C21" s="332">
        <f>SUM(C22)</f>
        <v>3692.19</v>
      </c>
      <c r="D21" s="332">
        <f>SUM(D22)</f>
        <v>46437.3</v>
      </c>
      <c r="E21" s="332">
        <f>SUM(E22)</f>
        <v>40500</v>
      </c>
      <c r="F21" s="332">
        <f>SUM(F22)</f>
        <v>50000</v>
      </c>
      <c r="G21" s="332">
        <f>SUM(G22)</f>
        <v>46437.3</v>
      </c>
      <c r="H21" s="329">
        <f t="shared" si="1"/>
        <v>12.577169647282508</v>
      </c>
      <c r="I21" s="329">
        <f t="shared" si="2"/>
        <v>1</v>
      </c>
      <c r="J21" s="329">
        <f t="shared" si="0"/>
        <v>0.92874600000000007</v>
      </c>
      <c r="L21" s="326"/>
    </row>
    <row r="22" spans="1:12" x14ac:dyDescent="0.3">
      <c r="A22" s="298">
        <v>61</v>
      </c>
      <c r="B22" s="298" t="s">
        <v>560</v>
      </c>
      <c r="C22" s="330">
        <f>SUMIFS('PRIHODI ZA VIJEĆE '!D17:D132,'PRIHODI ZA VIJEĆE '!K17:K132,"61")</f>
        <v>3692.19</v>
      </c>
      <c r="D22" s="330">
        <f>SUMIFS('PRIHODI ZA VIJEĆE '!E17:E132,'PRIHODI ZA VIJEĆE '!L17:L132,"61")</f>
        <v>46437.3</v>
      </c>
      <c r="E22" s="330">
        <f>SUMIFS('PRIHODI ZA VIJEĆE '!F17:F132,'PRIHODI ZA VIJEĆE '!M17:M132,"61")</f>
        <v>40500</v>
      </c>
      <c r="F22" s="330">
        <f>SUMIFS('PRIHODI ZA VIJEĆE '!G17:G132,'PRIHODI ZA VIJEĆE '!N17:N132,"61")</f>
        <v>50000</v>
      </c>
      <c r="G22" s="330">
        <f>SUMIFS('PRIHODI ZA VIJEĆE '!H17:H132,'PRIHODI ZA VIJEĆE '!O17:O132,"61")</f>
        <v>46437.3</v>
      </c>
      <c r="H22" s="331">
        <f t="shared" si="1"/>
        <v>12.577169647282508</v>
      </c>
      <c r="I22" s="331">
        <f t="shared" si="2"/>
        <v>1</v>
      </c>
      <c r="J22" s="331">
        <f t="shared" si="0"/>
        <v>0.92874600000000007</v>
      </c>
      <c r="L22" s="318"/>
    </row>
    <row r="23" spans="1:12" x14ac:dyDescent="0.3">
      <c r="B23" s="327"/>
      <c r="C23" s="333"/>
      <c r="D23" s="333"/>
      <c r="E23" s="333"/>
      <c r="F23" s="333"/>
      <c r="G23" s="333"/>
      <c r="H23" s="334"/>
      <c r="I23" s="334"/>
      <c r="J23" s="334"/>
      <c r="L23" s="318"/>
    </row>
    <row r="24" spans="1:12" ht="60.75" x14ac:dyDescent="0.3">
      <c r="A24" s="461" t="s">
        <v>1039</v>
      </c>
      <c r="B24" s="461"/>
      <c r="C24" s="276" t="s">
        <v>1014</v>
      </c>
      <c r="D24" s="276" t="s">
        <v>1015</v>
      </c>
      <c r="E24" s="276" t="s">
        <v>1013</v>
      </c>
      <c r="F24" s="276" t="s">
        <v>979</v>
      </c>
      <c r="G24" s="276" t="s">
        <v>1112</v>
      </c>
      <c r="H24" s="277" t="s">
        <v>1011</v>
      </c>
      <c r="I24" s="277" t="s">
        <v>1009</v>
      </c>
      <c r="J24" s="277" t="s">
        <v>1012</v>
      </c>
      <c r="L24" s="318"/>
    </row>
    <row r="25" spans="1:12" x14ac:dyDescent="0.3">
      <c r="A25" s="458">
        <v>1</v>
      </c>
      <c r="B25" s="458"/>
      <c r="C25" s="295">
        <v>2</v>
      </c>
      <c r="D25" s="296">
        <v>3</v>
      </c>
      <c r="E25" s="295">
        <v>4</v>
      </c>
      <c r="F25" s="295">
        <v>5</v>
      </c>
      <c r="G25" s="295">
        <v>6</v>
      </c>
      <c r="H25" s="335"/>
      <c r="I25" s="335"/>
      <c r="J25" s="335"/>
      <c r="L25" s="318"/>
    </row>
    <row r="26" spans="1:12" s="273" customFormat="1" x14ac:dyDescent="0.3">
      <c r="A26" s="280"/>
      <c r="B26" s="280" t="s">
        <v>559</v>
      </c>
      <c r="C26" s="332">
        <f>SUM(C27+C29+C31+C33+C35+C37)</f>
        <v>1070603.9600000002</v>
      </c>
      <c r="D26" s="332">
        <f>SUM(D27+D29+D31+D33+D35+D37)</f>
        <v>2652129.9699999993</v>
      </c>
      <c r="E26" s="332">
        <f>SUM(E27+E29+E31+E33+E35+E37)</f>
        <v>4135000</v>
      </c>
      <c r="F26" s="332">
        <f>SUM(F27+F29+F31+F33+F35+F37)</f>
        <v>3100700</v>
      </c>
      <c r="G26" s="332">
        <f>SUM(G27+G29+G31+G33+G35+G37)</f>
        <v>2652129.9699999993</v>
      </c>
      <c r="H26" s="329">
        <f>IFERROR(SUM(G26/C26),0)</f>
        <v>2.4772278723870951</v>
      </c>
      <c r="I26" s="329">
        <f>IFERROR(SUM(G26/D26),0)</f>
        <v>1</v>
      </c>
      <c r="J26" s="329">
        <f t="shared" ref="J26:J38" si="3">IFERROR(SUM(G26/F26),0)</f>
        <v>0.8553326571419354</v>
      </c>
      <c r="L26" s="326"/>
    </row>
    <row r="27" spans="1:12" s="273" customFormat="1" x14ac:dyDescent="0.3">
      <c r="A27" s="320">
        <v>1</v>
      </c>
      <c r="B27" s="280" t="s">
        <v>531</v>
      </c>
      <c r="C27" s="332">
        <f>SUM(C28)</f>
        <v>611468.96000000008</v>
      </c>
      <c r="D27" s="332">
        <f>SUM(D28)</f>
        <v>1624514.2599999998</v>
      </c>
      <c r="E27" s="332">
        <f>SUM(E28)</f>
        <v>1888000</v>
      </c>
      <c r="F27" s="332">
        <f>SUM(F28)</f>
        <v>1914600</v>
      </c>
      <c r="G27" s="332">
        <f>SUM(G28)</f>
        <v>1624514.2599999998</v>
      </c>
      <c r="H27" s="329">
        <f>IFERROR(SUM(G27/C27),0)</f>
        <v>2.6567403519550683</v>
      </c>
      <c r="I27" s="329">
        <f>IFERROR(SUM(G27/D27),0)</f>
        <v>1</v>
      </c>
      <c r="J27" s="329">
        <f t="shared" si="3"/>
        <v>0.84848754831296347</v>
      </c>
      <c r="L27" s="326"/>
    </row>
    <row r="28" spans="1:12" x14ac:dyDescent="0.3">
      <c r="A28" s="298">
        <v>11</v>
      </c>
      <c r="B28" s="298" t="s">
        <v>531</v>
      </c>
      <c r="C28" s="330">
        <f>SUMIFS('RASHODI ZA VIJEĆE'!E18:E570,'RASHODI ZA VIJEĆE'!L18:L570,"11")</f>
        <v>611468.96000000008</v>
      </c>
      <c r="D28" s="330">
        <f>SUMIFS('RASHODI ZA VIJEĆE'!F18:F579,'RASHODI ZA VIJEĆE'!M18:M579,"11")</f>
        <v>1624514.2599999998</v>
      </c>
      <c r="E28" s="330">
        <f>SUMIFS('RASHODI ZA VIJEĆE'!G18:G579,'RASHODI ZA VIJEĆE'!N18:N579,"11")</f>
        <v>1888000</v>
      </c>
      <c r="F28" s="330">
        <f>SUMIFS('RASHODI ZA VIJEĆE'!H18:H579,'RASHODI ZA VIJEĆE'!O18:O579,"11")</f>
        <v>1914600</v>
      </c>
      <c r="G28" s="330">
        <f>SUMIFS('RASHODI ZA VIJEĆE'!I18:I579,'RASHODI ZA VIJEĆE'!P18:P579,"11")</f>
        <v>1624514.2599999998</v>
      </c>
      <c r="H28" s="331">
        <f>IFERROR(SUM(G28/C28),0)</f>
        <v>2.6567403519550683</v>
      </c>
      <c r="I28" s="331">
        <f>IFERROR(SUM(G28/D28),0)</f>
        <v>1</v>
      </c>
      <c r="J28" s="331">
        <f t="shared" si="3"/>
        <v>0.84848754831296347</v>
      </c>
      <c r="L28" s="318"/>
    </row>
    <row r="29" spans="1:12" s="273" customFormat="1" x14ac:dyDescent="0.3">
      <c r="A29" s="324">
        <v>2</v>
      </c>
      <c r="B29" s="280" t="s">
        <v>532</v>
      </c>
      <c r="C29" s="332">
        <f>SUM(C30)</f>
        <v>208699.75</v>
      </c>
      <c r="D29" s="332">
        <f>SUM(D30)</f>
        <v>392904.54000000004</v>
      </c>
      <c r="E29" s="332">
        <f>SUM(E30)</f>
        <v>466000</v>
      </c>
      <c r="F29" s="332">
        <f>SUM(F30)</f>
        <v>448200</v>
      </c>
      <c r="G29" s="332">
        <f>SUM(G30)</f>
        <v>392904.54000000004</v>
      </c>
      <c r="H29" s="329">
        <f t="shared" ref="H29:H38" si="4">IFERROR(SUM(G29/C29),0)</f>
        <v>1.8826306212633221</v>
      </c>
      <c r="I29" s="329">
        <f t="shared" ref="I29:I38" si="5">IFERROR(SUM(G29/D29),0)</f>
        <v>1</v>
      </c>
      <c r="J29" s="329">
        <f t="shared" si="3"/>
        <v>0.87662771084337354</v>
      </c>
      <c r="L29" s="326"/>
    </row>
    <row r="30" spans="1:12" x14ac:dyDescent="0.3">
      <c r="A30" s="298">
        <v>21</v>
      </c>
      <c r="B30" s="298" t="s">
        <v>532</v>
      </c>
      <c r="C30" s="330">
        <f>SUMIFS('RASHODI ZA VIJEĆE'!E18:E579,'RASHODI ZA VIJEĆE'!L18:L579,"21")</f>
        <v>208699.75</v>
      </c>
      <c r="D30" s="330">
        <f>SUMIFS('RASHODI ZA VIJEĆE'!F18:F579,'RASHODI ZA VIJEĆE'!M18:M579,"21")</f>
        <v>392904.54000000004</v>
      </c>
      <c r="E30" s="330">
        <f>SUMIFS('RASHODI ZA VIJEĆE'!G18:G579,'RASHODI ZA VIJEĆE'!N18:N579,"21")</f>
        <v>466000</v>
      </c>
      <c r="F30" s="330">
        <f>SUMIFS('RASHODI ZA VIJEĆE'!H18:H579,'RASHODI ZA VIJEĆE'!O18:O579,"21")</f>
        <v>448200</v>
      </c>
      <c r="G30" s="330">
        <f>SUMIFS('RASHODI ZA VIJEĆE'!I18:I579,'RASHODI ZA VIJEĆE'!P18:P579,"21")</f>
        <v>392904.54000000004</v>
      </c>
      <c r="H30" s="331">
        <f t="shared" si="4"/>
        <v>1.8826306212633221</v>
      </c>
      <c r="I30" s="331">
        <f t="shared" si="5"/>
        <v>1</v>
      </c>
      <c r="J30" s="331">
        <f t="shared" si="3"/>
        <v>0.87662771084337354</v>
      </c>
      <c r="L30" s="318"/>
    </row>
    <row r="31" spans="1:12" s="273" customFormat="1" x14ac:dyDescent="0.3">
      <c r="A31" s="324">
        <v>3</v>
      </c>
      <c r="B31" s="280" t="s">
        <v>533</v>
      </c>
      <c r="C31" s="332">
        <f>SUM(C32)</f>
        <v>35950.43</v>
      </c>
      <c r="D31" s="332">
        <f>SUM(D32)</f>
        <v>87390.28</v>
      </c>
      <c r="E31" s="332">
        <f>SUM(E32)</f>
        <v>166500</v>
      </c>
      <c r="F31" s="332">
        <f>SUM(F32)</f>
        <v>149500</v>
      </c>
      <c r="G31" s="332">
        <f>SUM(G32)</f>
        <v>87390.28</v>
      </c>
      <c r="H31" s="329">
        <f t="shared" si="4"/>
        <v>2.4308549299688487</v>
      </c>
      <c r="I31" s="329">
        <f t="shared" si="5"/>
        <v>1</v>
      </c>
      <c r="J31" s="329">
        <f t="shared" si="3"/>
        <v>0.58455036789297654</v>
      </c>
      <c r="L31" s="326"/>
    </row>
    <row r="32" spans="1:12" x14ac:dyDescent="0.3">
      <c r="A32" s="298">
        <v>31</v>
      </c>
      <c r="B32" s="298" t="s">
        <v>533</v>
      </c>
      <c r="C32" s="330">
        <f>SUMIFS('RASHODI ZA VIJEĆE'!E18:E579,'RASHODI ZA VIJEĆE'!L18:L579,"31")</f>
        <v>35950.43</v>
      </c>
      <c r="D32" s="330">
        <f>SUMIFS('RASHODI ZA VIJEĆE'!F18:F579,'RASHODI ZA VIJEĆE'!M18:M579,"31")</f>
        <v>87390.28</v>
      </c>
      <c r="E32" s="330">
        <f>SUMIFS('RASHODI ZA VIJEĆE'!G18:G579,'RASHODI ZA VIJEĆE'!N18:N579,"31")</f>
        <v>166500</v>
      </c>
      <c r="F32" s="330">
        <f>SUMIFS('RASHODI ZA VIJEĆE'!H18:H579,'RASHODI ZA VIJEĆE'!O18:O579,"31")</f>
        <v>149500</v>
      </c>
      <c r="G32" s="330">
        <f>SUMIFS('RASHODI ZA VIJEĆE'!I18:I579,'RASHODI ZA VIJEĆE'!P18:P579,"31")</f>
        <v>87390.28</v>
      </c>
      <c r="H32" s="331">
        <f t="shared" si="4"/>
        <v>2.4308549299688487</v>
      </c>
      <c r="I32" s="331">
        <f t="shared" si="5"/>
        <v>1</v>
      </c>
      <c r="J32" s="331">
        <f t="shared" si="3"/>
        <v>0.58455036789297654</v>
      </c>
      <c r="L32" s="318"/>
    </row>
    <row r="33" spans="1:12" s="273" customFormat="1" x14ac:dyDescent="0.3">
      <c r="A33" s="324">
        <v>4</v>
      </c>
      <c r="B33" s="280" t="s">
        <v>534</v>
      </c>
      <c r="C33" s="332">
        <f>SUM(C34)</f>
        <v>198100.02</v>
      </c>
      <c r="D33" s="332">
        <f>SUM(D34)</f>
        <v>530936.09</v>
      </c>
      <c r="E33" s="332">
        <f>SUM(E34)</f>
        <v>1608000</v>
      </c>
      <c r="F33" s="332">
        <f>SUM(F34)</f>
        <v>571900</v>
      </c>
      <c r="G33" s="332">
        <f>SUM(G34)</f>
        <v>530936.09</v>
      </c>
      <c r="H33" s="329">
        <f t="shared" si="4"/>
        <v>2.6801415264874784</v>
      </c>
      <c r="I33" s="329">
        <f t="shared" si="5"/>
        <v>1</v>
      </c>
      <c r="J33" s="329">
        <f t="shared" si="3"/>
        <v>0.92837225039342541</v>
      </c>
      <c r="L33" s="326"/>
    </row>
    <row r="34" spans="1:12" x14ac:dyDescent="0.3">
      <c r="A34" s="298">
        <v>41</v>
      </c>
      <c r="B34" s="298" t="s">
        <v>534</v>
      </c>
      <c r="C34" s="330">
        <f>SUMIFS('RASHODI ZA VIJEĆE'!E18:E579,'RASHODI ZA VIJEĆE'!L18:L579,"41")</f>
        <v>198100.02</v>
      </c>
      <c r="D34" s="330">
        <f>SUMIFS('RASHODI ZA VIJEĆE'!F18:F579,'RASHODI ZA VIJEĆE'!M18:M579,"41")</f>
        <v>530936.09</v>
      </c>
      <c r="E34" s="330">
        <f>SUMIFS('RASHODI ZA VIJEĆE'!G18:G579,'RASHODI ZA VIJEĆE'!N18:N579,"41")</f>
        <v>1608000</v>
      </c>
      <c r="F34" s="330">
        <f>SUMIFS('RASHODI ZA VIJEĆE'!H18:H579,'RASHODI ZA VIJEĆE'!O18:O579,"41")</f>
        <v>571900</v>
      </c>
      <c r="G34" s="330">
        <f>SUMIFS('RASHODI ZA VIJEĆE'!I18:I579,'RASHODI ZA VIJEĆE'!P18:P579,"41")</f>
        <v>530936.09</v>
      </c>
      <c r="H34" s="331">
        <f t="shared" si="4"/>
        <v>2.6801415264874784</v>
      </c>
      <c r="I34" s="331">
        <f t="shared" si="5"/>
        <v>1</v>
      </c>
      <c r="J34" s="331">
        <f t="shared" si="3"/>
        <v>0.92837225039342541</v>
      </c>
      <c r="L34" s="318"/>
    </row>
    <row r="35" spans="1:12" s="273" customFormat="1" x14ac:dyDescent="0.3">
      <c r="A35" s="324">
        <v>5</v>
      </c>
      <c r="B35" s="280" t="s">
        <v>535</v>
      </c>
      <c r="C35" s="332">
        <f>SUM(C36)</f>
        <v>0</v>
      </c>
      <c r="D35" s="332">
        <f>SUM(D36)</f>
        <v>0</v>
      </c>
      <c r="E35" s="332">
        <f>SUM(E36)</f>
        <v>0</v>
      </c>
      <c r="F35" s="332">
        <f>SUM(F36)</f>
        <v>0</v>
      </c>
      <c r="G35" s="332">
        <f>SUM(G36)</f>
        <v>0</v>
      </c>
      <c r="H35" s="329">
        <f t="shared" si="4"/>
        <v>0</v>
      </c>
      <c r="I35" s="329">
        <f t="shared" si="5"/>
        <v>0</v>
      </c>
      <c r="J35" s="329">
        <f t="shared" si="3"/>
        <v>0</v>
      </c>
      <c r="L35" s="326"/>
    </row>
    <row r="36" spans="1:12" x14ac:dyDescent="0.3">
      <c r="A36" s="298">
        <v>51</v>
      </c>
      <c r="B36" s="298" t="s">
        <v>535</v>
      </c>
      <c r="C36" s="330">
        <f>SUMIFS('RASHODI ZA VIJEĆE'!E18:E579,'RASHODI ZA VIJEĆE'!L18:L579,"51")</f>
        <v>0</v>
      </c>
      <c r="D36" s="330">
        <f>SUMIFS('RASHODI ZA VIJEĆE'!F18:F579,'RASHODI ZA VIJEĆE'!M18:M579,"51")</f>
        <v>0</v>
      </c>
      <c r="E36" s="330">
        <f>SUMIFS('RASHODI ZA VIJEĆE'!G18:G579,'RASHODI ZA VIJEĆE'!N18:N579,"51")</f>
        <v>0</v>
      </c>
      <c r="F36" s="330">
        <f>SUMIFS('RASHODI ZA VIJEĆE'!H18:H579,'RASHODI ZA VIJEĆE'!O18:O579,"51")</f>
        <v>0</v>
      </c>
      <c r="G36" s="330">
        <f>SUMIFS('RASHODI ZA VIJEĆE'!I18:I579,'RASHODI ZA VIJEĆE'!P18:P579,"51")</f>
        <v>0</v>
      </c>
      <c r="H36" s="331">
        <f t="shared" si="4"/>
        <v>0</v>
      </c>
      <c r="I36" s="331">
        <f t="shared" si="5"/>
        <v>0</v>
      </c>
      <c r="J36" s="331">
        <f t="shared" si="3"/>
        <v>0</v>
      </c>
      <c r="L36" s="318"/>
    </row>
    <row r="37" spans="1:12" s="273" customFormat="1" x14ac:dyDescent="0.3">
      <c r="A37" s="324">
        <v>6</v>
      </c>
      <c r="B37" s="280" t="s">
        <v>560</v>
      </c>
      <c r="C37" s="332">
        <f>SUM(C38)</f>
        <v>16384.8</v>
      </c>
      <c r="D37" s="332">
        <f>SUM(D38)</f>
        <v>16384.8</v>
      </c>
      <c r="E37" s="332">
        <f>SUM(E38)</f>
        <v>6500</v>
      </c>
      <c r="F37" s="332">
        <f>SUM(F38)</f>
        <v>16500</v>
      </c>
      <c r="G37" s="332">
        <f>SUM(G38)</f>
        <v>16384.8</v>
      </c>
      <c r="H37" s="329">
        <f t="shared" si="4"/>
        <v>1</v>
      </c>
      <c r="I37" s="329">
        <f t="shared" si="5"/>
        <v>1</v>
      </c>
      <c r="J37" s="329">
        <f t="shared" si="3"/>
        <v>0.9930181818181818</v>
      </c>
      <c r="L37" s="326"/>
    </row>
    <row r="38" spans="1:12" x14ac:dyDescent="0.3">
      <c r="A38" s="298">
        <v>61</v>
      </c>
      <c r="B38" s="298" t="s">
        <v>560</v>
      </c>
      <c r="C38" s="330">
        <f>SUMIFS('RASHODI ZA VIJEĆE'!E18:E579,'RASHODI ZA VIJEĆE'!L18:L579,"61")</f>
        <v>16384.8</v>
      </c>
      <c r="D38" s="330">
        <f>SUMIFS('RASHODI ZA VIJEĆE'!F18:F579,'RASHODI ZA VIJEĆE'!M18:M579,"61")</f>
        <v>16384.8</v>
      </c>
      <c r="E38" s="330">
        <f>SUMIFS('RASHODI ZA VIJEĆE'!G18:G579,'RASHODI ZA VIJEĆE'!N18:N579,"61")</f>
        <v>6500</v>
      </c>
      <c r="F38" s="330">
        <f>SUMIFS('RASHODI ZA VIJEĆE'!H18:H579,'RASHODI ZA VIJEĆE'!O18:O579,"61")</f>
        <v>16500</v>
      </c>
      <c r="G38" s="330">
        <f>SUMIFS('RASHODI ZA VIJEĆE'!I18:I579,'RASHODI ZA VIJEĆE'!P18:P579,"61")</f>
        <v>16384.8</v>
      </c>
      <c r="H38" s="331">
        <f t="shared" si="4"/>
        <v>1</v>
      </c>
      <c r="I38" s="331">
        <f t="shared" si="5"/>
        <v>1</v>
      </c>
      <c r="J38" s="331">
        <f t="shared" si="3"/>
        <v>0.9930181818181818</v>
      </c>
      <c r="L38" s="318"/>
    </row>
    <row r="39" spans="1:12" x14ac:dyDescent="0.3">
      <c r="C39" s="290"/>
      <c r="D39" s="290"/>
      <c r="E39" s="290"/>
      <c r="F39" s="290"/>
      <c r="G39" s="290"/>
      <c r="H39" s="290"/>
      <c r="I39" s="290"/>
      <c r="J39" s="290"/>
      <c r="L39" s="319"/>
    </row>
    <row r="40" spans="1:12" x14ac:dyDescent="0.3">
      <c r="C40" s="290"/>
      <c r="D40" s="290"/>
      <c r="E40" s="290"/>
      <c r="F40" s="290"/>
      <c r="G40" s="290"/>
      <c r="H40" s="290"/>
      <c r="I40" s="290"/>
      <c r="J40" s="290"/>
      <c r="L40" s="318"/>
    </row>
    <row r="41" spans="1:12" x14ac:dyDescent="0.3">
      <c r="C41" s="290"/>
      <c r="D41" s="290"/>
      <c r="E41" s="290"/>
      <c r="F41" s="290"/>
      <c r="G41" s="290"/>
      <c r="H41" s="290"/>
      <c r="I41" s="290"/>
      <c r="J41" s="290"/>
    </row>
    <row r="42" spans="1:12" x14ac:dyDescent="0.3">
      <c r="C42" s="290"/>
      <c r="D42" s="290"/>
      <c r="E42" s="290"/>
      <c r="F42" s="290"/>
      <c r="G42" s="290"/>
      <c r="H42" s="290"/>
      <c r="I42" s="290"/>
      <c r="J42" s="290"/>
    </row>
    <row r="43" spans="1:12" x14ac:dyDescent="0.3">
      <c r="C43" s="290"/>
      <c r="D43" s="290"/>
      <c r="E43" s="290"/>
      <c r="F43" s="290"/>
      <c r="G43" s="290"/>
      <c r="H43" s="290"/>
      <c r="I43" s="290"/>
      <c r="J43" s="290"/>
    </row>
    <row r="44" spans="1:12" x14ac:dyDescent="0.3">
      <c r="C44" s="290"/>
      <c r="D44" s="290"/>
      <c r="E44" s="290"/>
      <c r="F44" s="290"/>
      <c r="G44" s="290"/>
      <c r="H44" s="290"/>
      <c r="I44" s="290"/>
      <c r="J44" s="290"/>
    </row>
    <row r="45" spans="1:12" x14ac:dyDescent="0.3">
      <c r="C45" s="290"/>
      <c r="D45" s="290"/>
      <c r="E45" s="290"/>
      <c r="F45" s="290"/>
      <c r="G45" s="290"/>
      <c r="H45" s="290"/>
      <c r="I45" s="290"/>
      <c r="J45" s="290"/>
    </row>
    <row r="46" spans="1:12" x14ac:dyDescent="0.3">
      <c r="C46" s="290"/>
      <c r="D46" s="290"/>
      <c r="E46" s="290"/>
      <c r="F46" s="290"/>
      <c r="G46" s="290"/>
      <c r="H46" s="290"/>
      <c r="I46" s="290"/>
      <c r="J46" s="290"/>
    </row>
    <row r="47" spans="1:12" x14ac:dyDescent="0.3">
      <c r="C47" s="290"/>
      <c r="D47" s="290"/>
      <c r="E47" s="290"/>
      <c r="F47" s="290"/>
      <c r="G47" s="290"/>
      <c r="H47" s="290"/>
      <c r="I47" s="290"/>
      <c r="J47" s="290"/>
    </row>
    <row r="48" spans="1:12" x14ac:dyDescent="0.3">
      <c r="C48" s="290"/>
      <c r="D48" s="290"/>
      <c r="E48" s="290"/>
      <c r="F48" s="290"/>
      <c r="G48" s="290"/>
      <c r="H48" s="290"/>
      <c r="I48" s="290"/>
      <c r="J48" s="290"/>
    </row>
    <row r="49" spans="3:10" x14ac:dyDescent="0.3">
      <c r="C49" s="290"/>
      <c r="D49" s="290"/>
      <c r="E49" s="290"/>
      <c r="F49" s="290"/>
      <c r="G49" s="290"/>
      <c r="H49" s="290"/>
      <c r="I49" s="290"/>
      <c r="J49" s="290"/>
    </row>
    <row r="50" spans="3:10" x14ac:dyDescent="0.3">
      <c r="C50" s="290"/>
      <c r="D50" s="290"/>
      <c r="E50" s="290"/>
      <c r="F50" s="290"/>
      <c r="G50" s="290"/>
      <c r="H50" s="290"/>
      <c r="I50" s="290"/>
      <c r="J50" s="290"/>
    </row>
    <row r="51" spans="3:10" x14ac:dyDescent="0.3">
      <c r="C51" s="290"/>
      <c r="D51" s="290"/>
      <c r="E51" s="290"/>
      <c r="F51" s="290"/>
      <c r="G51" s="290"/>
      <c r="H51" s="290"/>
      <c r="I51" s="290"/>
      <c r="J51" s="290"/>
    </row>
    <row r="52" spans="3:10" x14ac:dyDescent="0.3">
      <c r="C52" s="290"/>
      <c r="D52" s="290"/>
      <c r="E52" s="290"/>
      <c r="F52" s="290"/>
      <c r="G52" s="290"/>
      <c r="H52" s="290"/>
      <c r="I52" s="290"/>
      <c r="J52" s="290"/>
    </row>
    <row r="53" spans="3:10" x14ac:dyDescent="0.3">
      <c r="C53" s="290"/>
      <c r="D53" s="290"/>
      <c r="E53" s="290"/>
      <c r="F53" s="290"/>
      <c r="G53" s="290"/>
      <c r="H53" s="290"/>
      <c r="I53" s="290"/>
      <c r="J53" s="290"/>
    </row>
    <row r="54" spans="3:10" x14ac:dyDescent="0.3">
      <c r="C54" s="290"/>
      <c r="D54" s="290"/>
      <c r="E54" s="290"/>
      <c r="F54" s="290"/>
      <c r="G54" s="290"/>
      <c r="H54" s="290"/>
      <c r="I54" s="290"/>
      <c r="J54" s="290"/>
    </row>
    <row r="55" spans="3:10" x14ac:dyDescent="0.3">
      <c r="C55" s="290"/>
      <c r="D55" s="290"/>
      <c r="E55" s="290"/>
      <c r="F55" s="290"/>
      <c r="G55" s="290"/>
      <c r="H55" s="290"/>
      <c r="I55" s="290"/>
      <c r="J55" s="290"/>
    </row>
    <row r="56" spans="3:10" x14ac:dyDescent="0.3">
      <c r="C56" s="290"/>
      <c r="D56" s="290"/>
      <c r="E56" s="290"/>
      <c r="F56" s="290"/>
      <c r="G56" s="290"/>
      <c r="H56" s="290"/>
      <c r="I56" s="290"/>
      <c r="J56" s="290"/>
    </row>
    <row r="57" spans="3:10" x14ac:dyDescent="0.3">
      <c r="C57" s="290"/>
      <c r="D57" s="290"/>
      <c r="E57" s="290"/>
      <c r="F57" s="290"/>
      <c r="G57" s="290"/>
      <c r="H57" s="290"/>
      <c r="I57" s="290"/>
      <c r="J57" s="290"/>
    </row>
    <row r="58" spans="3:10" x14ac:dyDescent="0.3">
      <c r="C58" s="290"/>
      <c r="D58" s="290"/>
      <c r="E58" s="290"/>
      <c r="F58" s="290"/>
      <c r="G58" s="290"/>
      <c r="H58" s="290"/>
      <c r="I58" s="290"/>
      <c r="J58" s="290"/>
    </row>
    <row r="59" spans="3:10" x14ac:dyDescent="0.3">
      <c r="C59" s="290"/>
      <c r="D59" s="290"/>
      <c r="E59" s="290"/>
      <c r="F59" s="290"/>
      <c r="G59" s="290"/>
      <c r="H59" s="290"/>
      <c r="I59" s="290"/>
      <c r="J59" s="290"/>
    </row>
    <row r="60" spans="3:10" x14ac:dyDescent="0.3">
      <c r="C60" s="290"/>
      <c r="D60" s="290"/>
      <c r="E60" s="290"/>
      <c r="F60" s="290"/>
      <c r="G60" s="290"/>
      <c r="H60" s="290"/>
      <c r="I60" s="290"/>
      <c r="J60" s="290"/>
    </row>
    <row r="61" spans="3:10" x14ac:dyDescent="0.3">
      <c r="C61" s="290"/>
      <c r="D61" s="290"/>
      <c r="E61" s="290"/>
      <c r="F61" s="290"/>
      <c r="G61" s="290"/>
      <c r="H61" s="290"/>
      <c r="I61" s="290"/>
      <c r="J61" s="290"/>
    </row>
    <row r="62" spans="3:10" x14ac:dyDescent="0.3">
      <c r="C62" s="290"/>
      <c r="D62" s="290"/>
      <c r="E62" s="290"/>
      <c r="F62" s="290"/>
      <c r="G62" s="290"/>
      <c r="H62" s="290"/>
      <c r="I62" s="290"/>
      <c r="J62" s="290"/>
    </row>
    <row r="63" spans="3:10" x14ac:dyDescent="0.3">
      <c r="C63" s="290"/>
      <c r="D63" s="290"/>
      <c r="E63" s="290"/>
      <c r="F63" s="290"/>
      <c r="G63" s="290"/>
      <c r="H63" s="290"/>
      <c r="I63" s="290"/>
      <c r="J63" s="290"/>
    </row>
    <row r="64" spans="3:10" x14ac:dyDescent="0.3">
      <c r="C64" s="290"/>
      <c r="D64" s="290"/>
      <c r="E64" s="290"/>
      <c r="F64" s="290"/>
      <c r="G64" s="290"/>
      <c r="H64" s="290"/>
      <c r="I64" s="290"/>
      <c r="J64" s="290"/>
    </row>
    <row r="65" spans="3:10" x14ac:dyDescent="0.3">
      <c r="C65" s="290"/>
      <c r="D65" s="290"/>
      <c r="E65" s="290"/>
      <c r="F65" s="290"/>
      <c r="G65" s="290"/>
      <c r="H65" s="290"/>
      <c r="I65" s="290"/>
      <c r="J65" s="290"/>
    </row>
    <row r="66" spans="3:10" x14ac:dyDescent="0.3">
      <c r="C66" s="290"/>
      <c r="D66" s="290"/>
      <c r="E66" s="290"/>
      <c r="F66" s="290"/>
      <c r="G66" s="290"/>
      <c r="H66" s="290"/>
      <c r="I66" s="290"/>
      <c r="J66" s="290"/>
    </row>
    <row r="67" spans="3:10" x14ac:dyDescent="0.3">
      <c r="C67" s="290"/>
      <c r="D67" s="290"/>
      <c r="E67" s="290"/>
      <c r="F67" s="290"/>
      <c r="G67" s="290"/>
      <c r="H67" s="290"/>
      <c r="I67" s="290"/>
      <c r="J67" s="290"/>
    </row>
    <row r="68" spans="3:10" x14ac:dyDescent="0.3">
      <c r="C68" s="290"/>
      <c r="D68" s="290"/>
      <c r="E68" s="290"/>
      <c r="F68" s="290"/>
      <c r="G68" s="290"/>
      <c r="H68" s="290"/>
      <c r="I68" s="290"/>
      <c r="J68" s="290"/>
    </row>
    <row r="69" spans="3:10" x14ac:dyDescent="0.3">
      <c r="C69" s="290"/>
      <c r="D69" s="290"/>
      <c r="E69" s="290"/>
      <c r="F69" s="290"/>
      <c r="G69" s="290"/>
      <c r="H69" s="290"/>
      <c r="I69" s="290"/>
      <c r="J69" s="290"/>
    </row>
    <row r="70" spans="3:10" x14ac:dyDescent="0.3">
      <c r="C70" s="290"/>
      <c r="D70" s="290"/>
      <c r="E70" s="290"/>
      <c r="F70" s="290"/>
      <c r="G70" s="290"/>
      <c r="H70" s="290"/>
      <c r="I70" s="290"/>
      <c r="J70" s="290"/>
    </row>
    <row r="71" spans="3:10" x14ac:dyDescent="0.3">
      <c r="C71" s="290"/>
      <c r="D71" s="290"/>
      <c r="E71" s="290"/>
      <c r="F71" s="290"/>
      <c r="G71" s="290"/>
      <c r="H71" s="290"/>
      <c r="I71" s="290"/>
      <c r="J71" s="290"/>
    </row>
    <row r="72" spans="3:10" x14ac:dyDescent="0.3">
      <c r="C72" s="290"/>
      <c r="D72" s="290"/>
      <c r="E72" s="290"/>
      <c r="F72" s="290"/>
      <c r="G72" s="290"/>
      <c r="H72" s="290"/>
      <c r="I72" s="290"/>
      <c r="J72" s="290"/>
    </row>
    <row r="73" spans="3:10" x14ac:dyDescent="0.3">
      <c r="C73" s="290"/>
      <c r="D73" s="290"/>
      <c r="E73" s="290"/>
      <c r="F73" s="290"/>
      <c r="G73" s="290"/>
      <c r="H73" s="290"/>
      <c r="I73" s="290"/>
      <c r="J73" s="290"/>
    </row>
    <row r="74" spans="3:10" x14ac:dyDescent="0.3">
      <c r="C74" s="290"/>
      <c r="D74" s="290"/>
      <c r="E74" s="290"/>
      <c r="F74" s="290"/>
      <c r="G74" s="290"/>
      <c r="H74" s="290"/>
      <c r="I74" s="290"/>
      <c r="J74" s="290"/>
    </row>
    <row r="75" spans="3:10" x14ac:dyDescent="0.3">
      <c r="C75" s="290"/>
      <c r="D75" s="290"/>
      <c r="E75" s="290"/>
      <c r="F75" s="290"/>
      <c r="G75" s="290"/>
      <c r="H75" s="290"/>
      <c r="I75" s="290"/>
      <c r="J75" s="290"/>
    </row>
    <row r="76" spans="3:10" x14ac:dyDescent="0.3">
      <c r="C76" s="290"/>
      <c r="D76" s="290"/>
      <c r="E76" s="290"/>
      <c r="F76" s="290"/>
      <c r="G76" s="290"/>
      <c r="H76" s="290"/>
      <c r="I76" s="290"/>
      <c r="J76" s="290"/>
    </row>
    <row r="77" spans="3:10" x14ac:dyDescent="0.3">
      <c r="C77" s="290"/>
      <c r="D77" s="290"/>
      <c r="E77" s="290"/>
      <c r="F77" s="290"/>
      <c r="G77" s="290"/>
      <c r="H77" s="290"/>
      <c r="I77" s="290"/>
      <c r="J77" s="290"/>
    </row>
    <row r="78" spans="3:10" x14ac:dyDescent="0.3">
      <c r="C78" s="290"/>
      <c r="D78" s="290"/>
      <c r="E78" s="290"/>
      <c r="F78" s="290"/>
      <c r="G78" s="290"/>
      <c r="H78" s="290"/>
      <c r="I78" s="290"/>
      <c r="J78" s="290"/>
    </row>
    <row r="79" spans="3:10" x14ac:dyDescent="0.3">
      <c r="C79" s="290"/>
      <c r="D79" s="290"/>
      <c r="E79" s="290"/>
      <c r="F79" s="290"/>
      <c r="G79" s="290"/>
      <c r="H79" s="290"/>
      <c r="I79" s="290"/>
      <c r="J79" s="290"/>
    </row>
    <row r="80" spans="3:10" x14ac:dyDescent="0.3">
      <c r="C80" s="290"/>
      <c r="D80" s="290"/>
      <c r="E80" s="290"/>
      <c r="F80" s="290"/>
      <c r="G80" s="290"/>
      <c r="H80" s="290"/>
      <c r="I80" s="290"/>
      <c r="J80" s="290"/>
    </row>
    <row r="81" spans="3:10" x14ac:dyDescent="0.3">
      <c r="C81" s="290"/>
      <c r="D81" s="290"/>
      <c r="E81" s="290"/>
      <c r="F81" s="290"/>
      <c r="G81" s="290"/>
      <c r="H81" s="290"/>
      <c r="I81" s="290"/>
      <c r="J81" s="290"/>
    </row>
    <row r="82" spans="3:10" x14ac:dyDescent="0.3">
      <c r="C82" s="290"/>
      <c r="D82" s="290"/>
      <c r="E82" s="290"/>
      <c r="F82" s="290"/>
      <c r="G82" s="290"/>
      <c r="H82" s="290"/>
      <c r="I82" s="290"/>
      <c r="J82" s="290"/>
    </row>
    <row r="83" spans="3:10" x14ac:dyDescent="0.3">
      <c r="C83" s="290"/>
      <c r="D83" s="290"/>
      <c r="E83" s="290"/>
      <c r="F83" s="290"/>
      <c r="G83" s="290"/>
      <c r="H83" s="290"/>
      <c r="I83" s="290"/>
      <c r="J83" s="290"/>
    </row>
    <row r="84" spans="3:10" x14ac:dyDescent="0.3">
      <c r="C84" s="290"/>
      <c r="D84" s="290"/>
      <c r="E84" s="290"/>
      <c r="F84" s="290"/>
      <c r="G84" s="290"/>
      <c r="H84" s="290"/>
      <c r="I84" s="290"/>
      <c r="J84" s="290"/>
    </row>
    <row r="85" spans="3:10" x14ac:dyDescent="0.3">
      <c r="C85" s="290"/>
      <c r="D85" s="290"/>
      <c r="E85" s="290"/>
      <c r="F85" s="290"/>
      <c r="G85" s="290"/>
      <c r="H85" s="290"/>
      <c r="I85" s="290"/>
      <c r="J85" s="290"/>
    </row>
    <row r="86" spans="3:10" x14ac:dyDescent="0.3">
      <c r="C86" s="290"/>
      <c r="D86" s="290"/>
      <c r="E86" s="290"/>
      <c r="F86" s="290"/>
      <c r="G86" s="290"/>
      <c r="H86" s="290"/>
      <c r="I86" s="290"/>
      <c r="J86" s="290"/>
    </row>
    <row r="87" spans="3:10" x14ac:dyDescent="0.3">
      <c r="C87" s="290"/>
      <c r="D87" s="290"/>
      <c r="E87" s="290"/>
      <c r="F87" s="290"/>
      <c r="G87" s="290"/>
      <c r="H87" s="290"/>
      <c r="I87" s="290"/>
      <c r="J87" s="290"/>
    </row>
    <row r="88" spans="3:10" x14ac:dyDescent="0.3">
      <c r="C88" s="290"/>
      <c r="D88" s="290"/>
      <c r="E88" s="290"/>
      <c r="F88" s="290"/>
      <c r="G88" s="290"/>
      <c r="H88" s="290"/>
      <c r="I88" s="290"/>
      <c r="J88" s="290"/>
    </row>
    <row r="89" spans="3:10" x14ac:dyDescent="0.3">
      <c r="C89" s="290"/>
      <c r="D89" s="290"/>
      <c r="E89" s="290"/>
      <c r="F89" s="290"/>
      <c r="G89" s="290"/>
      <c r="H89" s="290"/>
      <c r="I89" s="290"/>
      <c r="J89" s="290"/>
    </row>
    <row r="90" spans="3:10" x14ac:dyDescent="0.3">
      <c r="C90" s="290"/>
      <c r="D90" s="290"/>
      <c r="E90" s="290"/>
      <c r="F90" s="290"/>
      <c r="G90" s="290"/>
      <c r="H90" s="290"/>
      <c r="I90" s="290"/>
      <c r="J90" s="290"/>
    </row>
    <row r="91" spans="3:10" x14ac:dyDescent="0.3">
      <c r="C91" s="290"/>
      <c r="D91" s="290"/>
      <c r="E91" s="290"/>
      <c r="F91" s="290"/>
      <c r="G91" s="290"/>
      <c r="H91" s="290"/>
      <c r="I91" s="290"/>
      <c r="J91" s="290"/>
    </row>
    <row r="92" spans="3:10" x14ac:dyDescent="0.3">
      <c r="C92" s="290"/>
      <c r="D92" s="290"/>
      <c r="E92" s="290"/>
      <c r="F92" s="290"/>
      <c r="G92" s="290"/>
      <c r="H92" s="290"/>
      <c r="I92" s="290"/>
      <c r="J92" s="290"/>
    </row>
    <row r="93" spans="3:10" x14ac:dyDescent="0.3">
      <c r="C93" s="290"/>
      <c r="D93" s="290"/>
      <c r="E93" s="290"/>
      <c r="F93" s="290"/>
      <c r="G93" s="290"/>
      <c r="H93" s="290"/>
      <c r="I93" s="290"/>
      <c r="J93" s="290"/>
    </row>
    <row r="94" spans="3:10" x14ac:dyDescent="0.3">
      <c r="C94" s="290"/>
      <c r="D94" s="290"/>
      <c r="E94" s="290"/>
      <c r="F94" s="290"/>
      <c r="G94" s="290"/>
      <c r="H94" s="290"/>
      <c r="I94" s="290"/>
      <c r="J94" s="290"/>
    </row>
    <row r="95" spans="3:10" x14ac:dyDescent="0.3">
      <c r="C95" s="290"/>
      <c r="D95" s="290"/>
      <c r="E95" s="290"/>
      <c r="F95" s="290"/>
      <c r="G95" s="290"/>
      <c r="H95" s="290"/>
      <c r="I95" s="290"/>
      <c r="J95" s="290"/>
    </row>
    <row r="96" spans="3:10" x14ac:dyDescent="0.3">
      <c r="C96" s="290"/>
      <c r="D96" s="290"/>
      <c r="E96" s="290"/>
      <c r="F96" s="290"/>
      <c r="G96" s="290"/>
      <c r="H96" s="290"/>
      <c r="I96" s="290"/>
      <c r="J96" s="290"/>
    </row>
    <row r="97" spans="3:10" x14ac:dyDescent="0.3">
      <c r="C97" s="290"/>
      <c r="D97" s="290"/>
      <c r="E97" s="290"/>
      <c r="F97" s="290"/>
      <c r="G97" s="290"/>
      <c r="H97" s="290"/>
      <c r="I97" s="290"/>
      <c r="J97" s="290"/>
    </row>
    <row r="98" spans="3:10" x14ac:dyDescent="0.3">
      <c r="C98" s="290"/>
      <c r="D98" s="290"/>
      <c r="E98" s="290"/>
      <c r="F98" s="290"/>
      <c r="G98" s="290"/>
      <c r="H98" s="290"/>
      <c r="I98" s="290"/>
      <c r="J98" s="290"/>
    </row>
    <row r="99" spans="3:10" x14ac:dyDescent="0.3">
      <c r="C99" s="290"/>
      <c r="D99" s="290"/>
      <c r="E99" s="290"/>
      <c r="F99" s="290"/>
      <c r="G99" s="290"/>
      <c r="H99" s="290"/>
      <c r="I99" s="290"/>
      <c r="J99" s="290"/>
    </row>
    <row r="100" spans="3:10" x14ac:dyDescent="0.3">
      <c r="C100" s="290"/>
      <c r="D100" s="290"/>
      <c r="E100" s="290"/>
      <c r="F100" s="290"/>
      <c r="G100" s="290"/>
      <c r="H100" s="290"/>
      <c r="I100" s="290"/>
      <c r="J100" s="290"/>
    </row>
    <row r="101" spans="3:10" x14ac:dyDescent="0.3">
      <c r="C101" s="290"/>
      <c r="D101" s="290"/>
      <c r="E101" s="290"/>
      <c r="F101" s="290"/>
      <c r="G101" s="290"/>
      <c r="H101" s="290"/>
      <c r="I101" s="290"/>
      <c r="J101" s="290"/>
    </row>
    <row r="102" spans="3:10" x14ac:dyDescent="0.3">
      <c r="C102" s="290"/>
      <c r="D102" s="290"/>
      <c r="E102" s="290"/>
      <c r="F102" s="290"/>
      <c r="G102" s="290"/>
      <c r="H102" s="290"/>
      <c r="I102" s="290"/>
      <c r="J102" s="290"/>
    </row>
    <row r="103" spans="3:10" x14ac:dyDescent="0.3">
      <c r="C103" s="290"/>
      <c r="D103" s="290"/>
      <c r="E103" s="290"/>
      <c r="F103" s="290"/>
      <c r="G103" s="290"/>
      <c r="H103" s="290"/>
      <c r="I103" s="290"/>
      <c r="J103" s="290"/>
    </row>
    <row r="104" spans="3:10" x14ac:dyDescent="0.3">
      <c r="C104" s="290"/>
      <c r="D104" s="290"/>
      <c r="E104" s="290"/>
      <c r="F104" s="290"/>
      <c r="G104" s="290"/>
      <c r="H104" s="290"/>
      <c r="I104" s="290"/>
      <c r="J104" s="290"/>
    </row>
    <row r="105" spans="3:10" x14ac:dyDescent="0.3">
      <c r="C105" s="290"/>
      <c r="D105" s="290"/>
      <c r="E105" s="290"/>
      <c r="F105" s="290"/>
      <c r="G105" s="290"/>
      <c r="H105" s="290"/>
      <c r="I105" s="290"/>
      <c r="J105" s="290"/>
    </row>
    <row r="106" spans="3:10" x14ac:dyDescent="0.3">
      <c r="C106" s="290"/>
      <c r="D106" s="290"/>
      <c r="E106" s="290"/>
      <c r="F106" s="290"/>
      <c r="G106" s="290"/>
      <c r="H106" s="290"/>
      <c r="I106" s="290"/>
      <c r="J106" s="290"/>
    </row>
    <row r="107" spans="3:10" x14ac:dyDescent="0.3">
      <c r="C107" s="290"/>
      <c r="D107" s="290"/>
      <c r="E107" s="290"/>
      <c r="F107" s="290"/>
      <c r="G107" s="290"/>
      <c r="H107" s="290"/>
      <c r="I107" s="290"/>
      <c r="J107" s="290"/>
    </row>
    <row r="108" spans="3:10" x14ac:dyDescent="0.3">
      <c r="C108" s="290"/>
      <c r="D108" s="290"/>
      <c r="E108" s="290"/>
      <c r="F108" s="290"/>
      <c r="G108" s="290"/>
      <c r="H108" s="290"/>
      <c r="I108" s="290"/>
      <c r="J108" s="290"/>
    </row>
    <row r="109" spans="3:10" x14ac:dyDescent="0.3">
      <c r="C109" s="290"/>
      <c r="D109" s="290"/>
      <c r="E109" s="290"/>
      <c r="F109" s="290"/>
      <c r="G109" s="290"/>
      <c r="H109" s="290"/>
      <c r="I109" s="290"/>
      <c r="J109" s="290"/>
    </row>
    <row r="110" spans="3:10" x14ac:dyDescent="0.3">
      <c r="C110" s="290"/>
      <c r="D110" s="290"/>
      <c r="E110" s="290"/>
      <c r="F110" s="290"/>
      <c r="G110" s="290"/>
      <c r="H110" s="290"/>
      <c r="I110" s="290"/>
      <c r="J110" s="290"/>
    </row>
    <row r="111" spans="3:10" x14ac:dyDescent="0.3">
      <c r="C111" s="290"/>
      <c r="D111" s="290"/>
      <c r="E111" s="290"/>
      <c r="F111" s="290"/>
      <c r="G111" s="290"/>
      <c r="H111" s="290"/>
      <c r="I111" s="290"/>
      <c r="J111" s="290"/>
    </row>
    <row r="112" spans="3:10" x14ac:dyDescent="0.3">
      <c r="C112" s="290"/>
      <c r="D112" s="290"/>
      <c r="E112" s="290"/>
      <c r="F112" s="290"/>
      <c r="G112" s="290"/>
      <c r="H112" s="290"/>
      <c r="I112" s="290"/>
      <c r="J112" s="290"/>
    </row>
    <row r="113" spans="3:10" x14ac:dyDescent="0.3">
      <c r="C113" s="290"/>
      <c r="D113" s="290"/>
      <c r="E113" s="290"/>
      <c r="F113" s="290"/>
      <c r="G113" s="290"/>
      <c r="H113" s="290"/>
      <c r="I113" s="290"/>
      <c r="J113" s="290"/>
    </row>
    <row r="114" spans="3:10" x14ac:dyDescent="0.3">
      <c r="C114" s="290"/>
      <c r="D114" s="290"/>
      <c r="E114" s="290"/>
      <c r="F114" s="290"/>
      <c r="G114" s="290"/>
      <c r="H114" s="290"/>
      <c r="I114" s="290"/>
      <c r="J114" s="290"/>
    </row>
    <row r="115" spans="3:10" x14ac:dyDescent="0.3">
      <c r="C115" s="290"/>
      <c r="D115" s="290"/>
      <c r="E115" s="290"/>
      <c r="F115" s="290"/>
      <c r="G115" s="290"/>
      <c r="H115" s="290"/>
      <c r="I115" s="290"/>
      <c r="J115" s="290"/>
    </row>
    <row r="116" spans="3:10" x14ac:dyDescent="0.3">
      <c r="C116" s="290"/>
      <c r="D116" s="290"/>
      <c r="E116" s="290"/>
      <c r="F116" s="290"/>
      <c r="G116" s="290"/>
      <c r="H116" s="290"/>
      <c r="I116" s="290"/>
      <c r="J116" s="290"/>
    </row>
    <row r="117" spans="3:10" x14ac:dyDescent="0.3">
      <c r="C117" s="290"/>
      <c r="D117" s="290"/>
      <c r="E117" s="290"/>
      <c r="F117" s="290"/>
      <c r="G117" s="290"/>
      <c r="H117" s="290"/>
      <c r="I117" s="290"/>
      <c r="J117" s="290"/>
    </row>
    <row r="118" spans="3:10" x14ac:dyDescent="0.3">
      <c r="C118" s="290"/>
      <c r="D118" s="290"/>
      <c r="E118" s="290"/>
      <c r="F118" s="290"/>
      <c r="G118" s="290"/>
      <c r="H118" s="290"/>
      <c r="I118" s="290"/>
      <c r="J118" s="290"/>
    </row>
    <row r="119" spans="3:10" x14ac:dyDescent="0.3">
      <c r="C119" s="290"/>
      <c r="D119" s="290"/>
      <c r="E119" s="290"/>
      <c r="F119" s="290"/>
      <c r="G119" s="290"/>
      <c r="H119" s="290"/>
      <c r="I119" s="290"/>
      <c r="J119" s="290"/>
    </row>
    <row r="120" spans="3:10" x14ac:dyDescent="0.3">
      <c r="C120" s="290"/>
      <c r="D120" s="290"/>
      <c r="E120" s="290"/>
      <c r="F120" s="290"/>
      <c r="G120" s="290"/>
      <c r="H120" s="290"/>
      <c r="I120" s="290"/>
      <c r="J120" s="290"/>
    </row>
    <row r="121" spans="3:10" x14ac:dyDescent="0.3">
      <c r="C121" s="290"/>
      <c r="D121" s="290"/>
      <c r="E121" s="290"/>
      <c r="F121" s="290"/>
      <c r="G121" s="290"/>
      <c r="H121" s="290"/>
      <c r="I121" s="290"/>
      <c r="J121" s="290"/>
    </row>
    <row r="122" spans="3:10" x14ac:dyDescent="0.3">
      <c r="C122" s="290"/>
      <c r="D122" s="290"/>
      <c r="E122" s="290"/>
      <c r="F122" s="290"/>
      <c r="G122" s="290"/>
      <c r="H122" s="290"/>
      <c r="I122" s="290"/>
      <c r="J122" s="290"/>
    </row>
    <row r="123" spans="3:10" x14ac:dyDescent="0.3">
      <c r="C123" s="290"/>
      <c r="D123" s="290"/>
      <c r="E123" s="290"/>
      <c r="F123" s="290"/>
      <c r="G123" s="290"/>
      <c r="H123" s="290"/>
      <c r="I123" s="290"/>
      <c r="J123" s="290"/>
    </row>
    <row r="124" spans="3:10" x14ac:dyDescent="0.3">
      <c r="C124" s="290"/>
      <c r="D124" s="290"/>
      <c r="E124" s="290"/>
      <c r="F124" s="290"/>
      <c r="G124" s="290"/>
      <c r="H124" s="290"/>
      <c r="I124" s="290"/>
      <c r="J124" s="290"/>
    </row>
    <row r="125" spans="3:10" x14ac:dyDescent="0.3">
      <c r="C125" s="290"/>
      <c r="D125" s="290"/>
      <c r="E125" s="290"/>
      <c r="F125" s="290"/>
      <c r="G125" s="290"/>
      <c r="H125" s="290"/>
      <c r="I125" s="290"/>
      <c r="J125" s="290"/>
    </row>
    <row r="126" spans="3:10" x14ac:dyDescent="0.3">
      <c r="C126" s="290"/>
      <c r="D126" s="290"/>
      <c r="E126" s="290"/>
      <c r="F126" s="290"/>
      <c r="G126" s="290"/>
      <c r="H126" s="290"/>
      <c r="I126" s="290"/>
      <c r="J126" s="290"/>
    </row>
    <row r="127" spans="3:10" x14ac:dyDescent="0.3">
      <c r="C127" s="290"/>
      <c r="D127" s="290"/>
      <c r="E127" s="290"/>
      <c r="F127" s="290"/>
      <c r="G127" s="290"/>
      <c r="H127" s="290"/>
      <c r="I127" s="290"/>
      <c r="J127" s="290"/>
    </row>
    <row r="128" spans="3:10" x14ac:dyDescent="0.3">
      <c r="C128" s="290"/>
      <c r="D128" s="290"/>
      <c r="E128" s="290"/>
      <c r="F128" s="290"/>
      <c r="G128" s="290"/>
      <c r="H128" s="290"/>
      <c r="I128" s="290"/>
      <c r="J128" s="290"/>
    </row>
    <row r="129" spans="3:10" x14ac:dyDescent="0.3">
      <c r="C129" s="290"/>
      <c r="D129" s="290"/>
      <c r="E129" s="290"/>
      <c r="F129" s="290"/>
      <c r="G129" s="290"/>
      <c r="H129" s="290"/>
      <c r="I129" s="290"/>
      <c r="J129" s="290"/>
    </row>
    <row r="130" spans="3:10" x14ac:dyDescent="0.3">
      <c r="C130" s="290"/>
      <c r="D130" s="290"/>
      <c r="E130" s="290"/>
      <c r="F130" s="290"/>
      <c r="G130" s="290"/>
      <c r="H130" s="290"/>
      <c r="I130" s="290"/>
      <c r="J130" s="290"/>
    </row>
    <row r="131" spans="3:10" x14ac:dyDescent="0.3">
      <c r="C131" s="290"/>
      <c r="D131" s="290"/>
      <c r="E131" s="290"/>
      <c r="F131" s="290"/>
      <c r="G131" s="290"/>
      <c r="H131" s="290"/>
      <c r="I131" s="290"/>
      <c r="J131" s="290"/>
    </row>
    <row r="132" spans="3:10" x14ac:dyDescent="0.3">
      <c r="C132" s="290"/>
      <c r="D132" s="290"/>
      <c r="E132" s="290"/>
      <c r="F132" s="290"/>
      <c r="G132" s="290"/>
      <c r="H132" s="290"/>
      <c r="I132" s="290"/>
      <c r="J132" s="290"/>
    </row>
    <row r="133" spans="3:10" x14ac:dyDescent="0.3">
      <c r="C133" s="290"/>
      <c r="D133" s="290"/>
      <c r="E133" s="290"/>
      <c r="F133" s="290"/>
      <c r="G133" s="290"/>
      <c r="H133" s="290"/>
      <c r="I133" s="290"/>
      <c r="J133" s="290"/>
    </row>
    <row r="134" spans="3:10" x14ac:dyDescent="0.3">
      <c r="C134" s="290"/>
      <c r="D134" s="290"/>
      <c r="E134" s="290"/>
      <c r="F134" s="290"/>
      <c r="G134" s="290"/>
      <c r="H134" s="290"/>
      <c r="I134" s="290"/>
      <c r="J134" s="290"/>
    </row>
    <row r="135" spans="3:10" x14ac:dyDescent="0.3">
      <c r="C135" s="290"/>
      <c r="D135" s="290"/>
      <c r="E135" s="290"/>
      <c r="F135" s="290"/>
      <c r="G135" s="290"/>
      <c r="H135" s="290"/>
      <c r="I135" s="290"/>
      <c r="J135" s="290"/>
    </row>
    <row r="136" spans="3:10" x14ac:dyDescent="0.3">
      <c r="C136" s="290"/>
      <c r="D136" s="290"/>
      <c r="E136" s="290"/>
      <c r="F136" s="290"/>
      <c r="G136" s="290"/>
      <c r="H136" s="290"/>
      <c r="I136" s="290"/>
      <c r="J136" s="290"/>
    </row>
    <row r="137" spans="3:10" x14ac:dyDescent="0.3">
      <c r="C137" s="290"/>
      <c r="D137" s="290"/>
      <c r="E137" s="290"/>
      <c r="F137" s="290"/>
      <c r="G137" s="290"/>
      <c r="H137" s="290"/>
      <c r="I137" s="290"/>
      <c r="J137" s="290"/>
    </row>
    <row r="138" spans="3:10" x14ac:dyDescent="0.3">
      <c r="C138" s="290"/>
      <c r="D138" s="290"/>
      <c r="E138" s="290"/>
      <c r="F138" s="290"/>
      <c r="G138" s="290"/>
      <c r="H138" s="290"/>
      <c r="I138" s="290"/>
      <c r="J138" s="290"/>
    </row>
    <row r="139" spans="3:10" x14ac:dyDescent="0.3">
      <c r="C139" s="290"/>
      <c r="D139" s="290"/>
      <c r="E139" s="290"/>
      <c r="F139" s="290"/>
      <c r="G139" s="290"/>
      <c r="H139" s="290"/>
      <c r="I139" s="290"/>
      <c r="J139" s="290"/>
    </row>
    <row r="140" spans="3:10" x14ac:dyDescent="0.3">
      <c r="C140" s="290"/>
      <c r="D140" s="290"/>
      <c r="E140" s="290"/>
      <c r="F140" s="290"/>
      <c r="G140" s="290"/>
      <c r="H140" s="290"/>
      <c r="I140" s="290"/>
      <c r="J140" s="290"/>
    </row>
    <row r="141" spans="3:10" x14ac:dyDescent="0.3">
      <c r="C141" s="290"/>
      <c r="D141" s="290"/>
      <c r="E141" s="290"/>
      <c r="F141" s="290"/>
      <c r="G141" s="290"/>
      <c r="H141" s="290"/>
      <c r="I141" s="290"/>
      <c r="J141" s="290"/>
    </row>
    <row r="142" spans="3:10" x14ac:dyDescent="0.3">
      <c r="C142" s="290"/>
      <c r="D142" s="290"/>
      <c r="E142" s="290"/>
      <c r="F142" s="290"/>
      <c r="G142" s="290"/>
      <c r="H142" s="290"/>
      <c r="I142" s="290"/>
      <c r="J142" s="290"/>
    </row>
    <row r="143" spans="3:10" x14ac:dyDescent="0.3">
      <c r="C143" s="290"/>
      <c r="D143" s="290"/>
      <c r="E143" s="290"/>
      <c r="F143" s="290"/>
      <c r="G143" s="290"/>
      <c r="H143" s="290"/>
      <c r="I143" s="290"/>
      <c r="J143" s="290"/>
    </row>
    <row r="144" spans="3:10" x14ac:dyDescent="0.3">
      <c r="C144" s="290"/>
      <c r="D144" s="290"/>
      <c r="E144" s="290"/>
      <c r="F144" s="290"/>
      <c r="G144" s="290"/>
      <c r="H144" s="290"/>
      <c r="I144" s="290"/>
      <c r="J144" s="290"/>
    </row>
    <row r="145" spans="3:10" x14ac:dyDescent="0.3">
      <c r="C145" s="290"/>
      <c r="D145" s="290"/>
      <c r="E145" s="290"/>
      <c r="F145" s="290"/>
      <c r="G145" s="290"/>
      <c r="H145" s="290"/>
      <c r="I145" s="290"/>
      <c r="J145" s="290"/>
    </row>
    <row r="146" spans="3:10" x14ac:dyDescent="0.3">
      <c r="C146" s="290"/>
      <c r="D146" s="290"/>
      <c r="E146" s="290"/>
      <c r="F146" s="290"/>
      <c r="G146" s="290"/>
      <c r="H146" s="290"/>
      <c r="I146" s="290"/>
      <c r="J146" s="290"/>
    </row>
    <row r="147" spans="3:10" x14ac:dyDescent="0.3">
      <c r="C147" s="290"/>
      <c r="D147" s="290"/>
      <c r="E147" s="290"/>
      <c r="F147" s="290"/>
      <c r="G147" s="290"/>
      <c r="H147" s="290"/>
      <c r="I147" s="290"/>
      <c r="J147" s="290"/>
    </row>
    <row r="148" spans="3:10" x14ac:dyDescent="0.3">
      <c r="C148" s="290"/>
      <c r="D148" s="290"/>
      <c r="E148" s="290"/>
      <c r="F148" s="290"/>
      <c r="G148" s="290"/>
      <c r="H148" s="290"/>
      <c r="I148" s="290"/>
      <c r="J148" s="290"/>
    </row>
    <row r="149" spans="3:10" x14ac:dyDescent="0.3">
      <c r="C149" s="290"/>
      <c r="D149" s="290"/>
      <c r="E149" s="290"/>
      <c r="F149" s="290"/>
      <c r="G149" s="290"/>
      <c r="H149" s="290"/>
      <c r="I149" s="290"/>
      <c r="J149" s="290"/>
    </row>
    <row r="150" spans="3:10" x14ac:dyDescent="0.3">
      <c r="C150" s="290"/>
      <c r="D150" s="290"/>
      <c r="E150" s="290"/>
      <c r="F150" s="290"/>
      <c r="G150" s="290"/>
      <c r="H150" s="290"/>
      <c r="I150" s="290"/>
      <c r="J150" s="290"/>
    </row>
    <row r="151" spans="3:10" x14ac:dyDescent="0.3">
      <c r="C151" s="290"/>
      <c r="D151" s="290"/>
      <c r="E151" s="290"/>
      <c r="F151" s="290"/>
      <c r="G151" s="290"/>
      <c r="H151" s="290"/>
      <c r="I151" s="290"/>
      <c r="J151" s="290"/>
    </row>
    <row r="152" spans="3:10" x14ac:dyDescent="0.3">
      <c r="C152" s="290"/>
      <c r="D152" s="290"/>
      <c r="E152" s="290"/>
      <c r="F152" s="290"/>
      <c r="G152" s="290"/>
      <c r="H152" s="290"/>
      <c r="I152" s="290"/>
      <c r="J152" s="290"/>
    </row>
    <row r="153" spans="3:10" x14ac:dyDescent="0.3">
      <c r="C153" s="290"/>
      <c r="D153" s="290"/>
      <c r="E153" s="290"/>
      <c r="F153" s="290"/>
      <c r="G153" s="290"/>
      <c r="H153" s="290"/>
      <c r="I153" s="290"/>
      <c r="J153" s="290"/>
    </row>
    <row r="154" spans="3:10" x14ac:dyDescent="0.3">
      <c r="C154" s="290"/>
      <c r="D154" s="290"/>
      <c r="E154" s="290"/>
      <c r="F154" s="290"/>
      <c r="G154" s="290"/>
      <c r="H154" s="290"/>
      <c r="I154" s="290"/>
      <c r="J154" s="290"/>
    </row>
    <row r="155" spans="3:10" x14ac:dyDescent="0.3">
      <c r="C155" s="290"/>
      <c r="D155" s="290"/>
      <c r="E155" s="290"/>
      <c r="F155" s="290"/>
      <c r="G155" s="290"/>
      <c r="H155" s="290"/>
      <c r="I155" s="290"/>
      <c r="J155" s="290"/>
    </row>
    <row r="156" spans="3:10" x14ac:dyDescent="0.3">
      <c r="C156" s="290"/>
      <c r="D156" s="290"/>
      <c r="E156" s="290"/>
      <c r="F156" s="290"/>
      <c r="G156" s="290"/>
      <c r="H156" s="290"/>
      <c r="I156" s="290"/>
      <c r="J156" s="290"/>
    </row>
    <row r="157" spans="3:10" x14ac:dyDescent="0.3">
      <c r="C157" s="290"/>
      <c r="D157" s="290"/>
      <c r="E157" s="290"/>
      <c r="F157" s="290"/>
      <c r="G157" s="290"/>
      <c r="H157" s="290"/>
      <c r="I157" s="290"/>
      <c r="J157" s="290"/>
    </row>
    <row r="158" spans="3:10" x14ac:dyDescent="0.3">
      <c r="C158" s="290"/>
      <c r="D158" s="290"/>
      <c r="E158" s="290"/>
      <c r="F158" s="290"/>
      <c r="G158" s="290"/>
      <c r="H158" s="290"/>
      <c r="I158" s="290"/>
      <c r="J158" s="290"/>
    </row>
    <row r="159" spans="3:10" x14ac:dyDescent="0.3">
      <c r="C159" s="290"/>
      <c r="D159" s="290"/>
      <c r="E159" s="290"/>
      <c r="F159" s="290"/>
      <c r="G159" s="290"/>
      <c r="H159" s="290"/>
      <c r="I159" s="290"/>
      <c r="J159" s="290"/>
    </row>
    <row r="160" spans="3:10" x14ac:dyDescent="0.3">
      <c r="C160" s="290"/>
      <c r="D160" s="290"/>
      <c r="E160" s="290"/>
      <c r="F160" s="290"/>
      <c r="G160" s="290"/>
      <c r="H160" s="290"/>
      <c r="I160" s="290"/>
      <c r="J160" s="290"/>
    </row>
    <row r="161" spans="3:10" x14ac:dyDescent="0.3">
      <c r="C161" s="290"/>
      <c r="D161" s="290"/>
      <c r="E161" s="290"/>
      <c r="F161" s="290"/>
      <c r="G161" s="290"/>
      <c r="H161" s="290"/>
      <c r="I161" s="290"/>
      <c r="J161" s="290"/>
    </row>
    <row r="162" spans="3:10" x14ac:dyDescent="0.3">
      <c r="C162" s="290"/>
      <c r="D162" s="290"/>
      <c r="E162" s="290"/>
      <c r="F162" s="290"/>
      <c r="G162" s="290"/>
      <c r="H162" s="290"/>
      <c r="I162" s="290"/>
      <c r="J162" s="290"/>
    </row>
    <row r="163" spans="3:10" x14ac:dyDescent="0.3">
      <c r="C163" s="290"/>
      <c r="D163" s="290"/>
      <c r="E163" s="290"/>
      <c r="F163" s="290"/>
      <c r="G163" s="290"/>
      <c r="H163" s="290"/>
      <c r="I163" s="290"/>
      <c r="J163" s="290"/>
    </row>
    <row r="164" spans="3:10" x14ac:dyDescent="0.3">
      <c r="C164" s="290"/>
      <c r="D164" s="290"/>
      <c r="E164" s="290"/>
      <c r="F164" s="290"/>
      <c r="G164" s="290"/>
      <c r="H164" s="290"/>
      <c r="I164" s="290"/>
      <c r="J164" s="290"/>
    </row>
    <row r="165" spans="3:10" x14ac:dyDescent="0.3">
      <c r="C165" s="290"/>
      <c r="D165" s="290"/>
      <c r="E165" s="290"/>
      <c r="F165" s="290"/>
      <c r="G165" s="290"/>
      <c r="H165" s="290"/>
      <c r="I165" s="290"/>
      <c r="J165" s="290"/>
    </row>
    <row r="166" spans="3:10" x14ac:dyDescent="0.3">
      <c r="C166" s="290"/>
      <c r="D166" s="290"/>
      <c r="E166" s="290"/>
      <c r="F166" s="290"/>
      <c r="G166" s="290"/>
      <c r="H166" s="290"/>
      <c r="I166" s="290"/>
      <c r="J166" s="290"/>
    </row>
    <row r="167" spans="3:10" x14ac:dyDescent="0.3">
      <c r="C167" s="290"/>
      <c r="D167" s="290"/>
      <c r="E167" s="290"/>
      <c r="F167" s="290"/>
      <c r="G167" s="290"/>
      <c r="H167" s="290"/>
      <c r="I167" s="290"/>
      <c r="J167" s="290"/>
    </row>
    <row r="168" spans="3:10" x14ac:dyDescent="0.3">
      <c r="C168" s="290"/>
      <c r="D168" s="290"/>
      <c r="E168" s="290"/>
      <c r="F168" s="290"/>
      <c r="G168" s="290"/>
      <c r="H168" s="290"/>
      <c r="I168" s="290"/>
      <c r="J168" s="290"/>
    </row>
    <row r="169" spans="3:10" x14ac:dyDescent="0.3">
      <c r="C169" s="290"/>
      <c r="D169" s="290"/>
      <c r="E169" s="290"/>
      <c r="F169" s="290"/>
      <c r="G169" s="290"/>
      <c r="H169" s="290"/>
      <c r="I169" s="290"/>
      <c r="J169" s="290"/>
    </row>
    <row r="170" spans="3:10" x14ac:dyDescent="0.3">
      <c r="C170" s="290"/>
      <c r="D170" s="290"/>
      <c r="E170" s="290"/>
      <c r="F170" s="290"/>
      <c r="G170" s="290"/>
      <c r="H170" s="290"/>
      <c r="I170" s="290"/>
      <c r="J170" s="290"/>
    </row>
  </sheetData>
  <mergeCells count="9">
    <mergeCell ref="A24:B24"/>
    <mergeCell ref="A25:B25"/>
    <mergeCell ref="A1:J1"/>
    <mergeCell ref="A3:J3"/>
    <mergeCell ref="A4:J4"/>
    <mergeCell ref="A8:B8"/>
    <mergeCell ref="A9:B9"/>
    <mergeCell ref="A2:J2"/>
    <mergeCell ref="A5:J5"/>
  </mergeCells>
  <pageMargins left="0.39370078740157483" right="0.39370078740157483" top="0.59055118110236227" bottom="0.39370078740157483" header="0.31496062992125984" footer="0.31496062992125984"/>
  <pageSetup paperSize="9" scale="59" firstPageNumber="7" fitToHeight="0" orientation="landscape" useFirstPageNumber="1" r:id="rId1"/>
  <headerFooter>
    <oddFooter>&amp;R&amp;14&amp;P</oddFooter>
  </headerFooter>
  <colBreaks count="1" manualBreakCount="1">
    <brk id="11" min="11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0">
    <pageSetUpPr fitToPage="1"/>
  </sheetPr>
  <dimension ref="A1:K192"/>
  <sheetViews>
    <sheetView view="pageBreakPreview" zoomScaleNormal="100" zoomScaleSheetLayoutView="100" workbookViewId="0">
      <selection activeCell="J6" sqref="J1:J1048576"/>
    </sheetView>
  </sheetViews>
  <sheetFormatPr defaultRowHeight="20.25" x14ac:dyDescent="0.3"/>
  <cols>
    <col min="1" max="1" width="7.7109375" style="61" customWidth="1"/>
    <col min="2" max="2" width="75.7109375" style="61" customWidth="1"/>
    <col min="3" max="6" width="20.7109375" style="307" customWidth="1"/>
    <col min="7" max="7" width="20.7109375" style="61" customWidth="1"/>
    <col min="8" max="10" width="15.7109375" style="61" customWidth="1"/>
    <col min="11" max="16384" width="9.140625" style="61"/>
  </cols>
  <sheetData>
    <row r="1" spans="1:11" ht="22.5" x14ac:dyDescent="0.3">
      <c r="A1" s="465" t="s">
        <v>1010</v>
      </c>
      <c r="B1" s="465"/>
      <c r="C1" s="465"/>
      <c r="D1" s="465"/>
      <c r="E1" s="465"/>
      <c r="F1" s="465"/>
      <c r="G1" s="465"/>
      <c r="H1" s="465"/>
      <c r="I1" s="465"/>
      <c r="J1" s="465"/>
    </row>
    <row r="2" spans="1:11" x14ac:dyDescent="0.3">
      <c r="A2" s="453"/>
      <c r="B2" s="453"/>
      <c r="C2" s="453"/>
      <c r="D2" s="453"/>
      <c r="E2" s="453"/>
      <c r="F2" s="453"/>
      <c r="G2" s="453"/>
      <c r="H2" s="453"/>
      <c r="I2" s="453"/>
      <c r="J2" s="453"/>
    </row>
    <row r="3" spans="1:11" ht="22.5" x14ac:dyDescent="0.3">
      <c r="A3" s="465" t="s">
        <v>1065</v>
      </c>
      <c r="B3" s="465"/>
      <c r="C3" s="465"/>
      <c r="D3" s="465"/>
      <c r="E3" s="465"/>
      <c r="F3" s="465"/>
      <c r="G3" s="465"/>
      <c r="H3" s="465"/>
      <c r="I3" s="465"/>
      <c r="J3" s="465"/>
    </row>
    <row r="4" spans="1:11" x14ac:dyDescent="0.3">
      <c r="A4" s="453"/>
      <c r="B4" s="453"/>
      <c r="C4" s="453"/>
      <c r="D4" s="453"/>
      <c r="E4" s="453"/>
      <c r="F4" s="453"/>
      <c r="G4" s="453"/>
      <c r="H4" s="453"/>
      <c r="I4" s="453"/>
      <c r="J4" s="453"/>
    </row>
    <row r="5" spans="1:11" ht="22.5" x14ac:dyDescent="0.3">
      <c r="A5" s="457" t="s">
        <v>1068</v>
      </c>
      <c r="B5" s="457"/>
      <c r="C5" s="457"/>
      <c r="D5" s="457"/>
      <c r="E5" s="457"/>
      <c r="F5" s="457"/>
      <c r="G5" s="457"/>
      <c r="H5" s="457"/>
      <c r="I5" s="457"/>
      <c r="J5" s="457"/>
      <c r="K5" s="89"/>
    </row>
    <row r="6" spans="1:11" ht="22.5" x14ac:dyDescent="0.3">
      <c r="A6" s="288"/>
      <c r="B6" s="288"/>
      <c r="C6" s="288"/>
      <c r="D6" s="288"/>
      <c r="E6" s="288"/>
      <c r="F6" s="288"/>
      <c r="G6" s="288"/>
      <c r="H6" s="288"/>
      <c r="I6" s="288"/>
      <c r="J6" s="288"/>
      <c r="K6" s="89"/>
    </row>
    <row r="7" spans="1:11" s="337" customFormat="1" x14ac:dyDescent="0.3">
      <c r="A7" s="463" t="s">
        <v>1079</v>
      </c>
      <c r="B7" s="463"/>
      <c r="C7" s="463"/>
      <c r="D7" s="463"/>
      <c r="E7" s="463"/>
      <c r="F7" s="463"/>
      <c r="G7" s="463"/>
      <c r="H7" s="463"/>
      <c r="I7" s="463"/>
      <c r="J7" s="463"/>
      <c r="K7" s="336"/>
    </row>
    <row r="8" spans="1:11" ht="61.5" customHeight="1" x14ac:dyDescent="0.3">
      <c r="A8" s="461" t="s">
        <v>1039</v>
      </c>
      <c r="B8" s="461"/>
      <c r="C8" s="276" t="s">
        <v>1014</v>
      </c>
      <c r="D8" s="276" t="s">
        <v>1015</v>
      </c>
      <c r="E8" s="276" t="s">
        <v>1013</v>
      </c>
      <c r="F8" s="276" t="s">
        <v>979</v>
      </c>
      <c r="G8" s="276" t="s">
        <v>1112</v>
      </c>
      <c r="H8" s="277" t="s">
        <v>1011</v>
      </c>
      <c r="I8" s="277" t="s">
        <v>1009</v>
      </c>
      <c r="J8" s="277" t="s">
        <v>1012</v>
      </c>
      <c r="K8" s="89"/>
    </row>
    <row r="9" spans="1:11" x14ac:dyDescent="0.3">
      <c r="A9" s="458">
        <v>1</v>
      </c>
      <c r="B9" s="458"/>
      <c r="C9" s="295">
        <v>2</v>
      </c>
      <c r="D9" s="296">
        <v>3</v>
      </c>
      <c r="E9" s="295">
        <v>4</v>
      </c>
      <c r="F9" s="295">
        <v>5</v>
      </c>
      <c r="G9" s="295">
        <v>6</v>
      </c>
      <c r="H9" s="295"/>
      <c r="I9" s="295"/>
      <c r="J9" s="295"/>
      <c r="K9" s="89"/>
    </row>
    <row r="10" spans="1:11" s="314" customFormat="1" x14ac:dyDescent="0.3">
      <c r="A10" s="464" t="s">
        <v>1063</v>
      </c>
      <c r="B10" s="464"/>
      <c r="C10" s="328">
        <f>SUM(C11+C20+C26+C33+C43+C50+C57+C64+C71+C80)</f>
        <v>1070603.96</v>
      </c>
      <c r="D10" s="328">
        <f>SUM(D11+D20+D26+D33+D43+D50+D57+D64+D71+D80)</f>
        <v>2652129.9699999997</v>
      </c>
      <c r="E10" s="328">
        <f>SUM(E11+E20+E26+E33+E43+E50+E57+E64+E71+E80)</f>
        <v>4135000</v>
      </c>
      <c r="F10" s="328">
        <f>SUM(F11+F20+F26+F33+F43+F50+F57+F64+F71+F80)</f>
        <v>3100700</v>
      </c>
      <c r="G10" s="328">
        <f>SUM(G11+G20+G26+G33+G43+G50+G57+G64+G71+G80)</f>
        <v>2652129.9699999997</v>
      </c>
      <c r="H10" s="282">
        <f>IFERROR(SUM(G10/C10),0)</f>
        <v>2.4772278723870964</v>
      </c>
      <c r="I10" s="282">
        <f>IFERROR(SUM(G10/D10),0)</f>
        <v>1</v>
      </c>
      <c r="J10" s="282">
        <f t="shared" ref="J10:J41" si="0">IFERROR(SUM(G10/F10),0)</f>
        <v>0.85533265714193563</v>
      </c>
      <c r="K10" s="322"/>
    </row>
    <row r="11" spans="1:11" s="314" customFormat="1" x14ac:dyDescent="0.3">
      <c r="A11" s="341" t="s">
        <v>561</v>
      </c>
      <c r="B11" s="342" t="s">
        <v>562</v>
      </c>
      <c r="C11" s="281">
        <f>SUM(C12:C19)</f>
        <v>234885.96000000002</v>
      </c>
      <c r="D11" s="281">
        <f>SUM(D12:D19)</f>
        <v>594681.10999999987</v>
      </c>
      <c r="E11" s="281">
        <f>SUM(E12:E19)</f>
        <v>628000</v>
      </c>
      <c r="F11" s="281">
        <f>SUM(F12:F19)</f>
        <v>738000</v>
      </c>
      <c r="G11" s="281">
        <f>SUM(G12:G19)</f>
        <v>594681.10999999987</v>
      </c>
      <c r="H11" s="282">
        <f>IFERROR(SUM(G11/C11),0)</f>
        <v>2.5317865316428443</v>
      </c>
      <c r="I11" s="282">
        <f>IFERROR(SUM(G11/D11),0)</f>
        <v>1</v>
      </c>
      <c r="J11" s="282">
        <f t="shared" si="0"/>
        <v>0.80580096205962037</v>
      </c>
      <c r="K11" s="322"/>
    </row>
    <row r="12" spans="1:11" ht="40.5" x14ac:dyDescent="0.3">
      <c r="A12" s="338" t="s">
        <v>563</v>
      </c>
      <c r="B12" s="339" t="s">
        <v>564</v>
      </c>
      <c r="C12" s="300">
        <f>SUMIFS('RASHODI ZA VIJEĆE'!E18:E570,'RASHODI ZA VIJEĆE'!Q18:Q570,"011")</f>
        <v>173667.22000000003</v>
      </c>
      <c r="D12" s="300">
        <f>SUMIFS('RASHODI ZA VIJEĆE'!F18:F570,'RASHODI ZA VIJEĆE'!R18:R570,"011")</f>
        <v>478405.72999999992</v>
      </c>
      <c r="E12" s="300">
        <f>SUMIFS('RASHODI ZA VIJEĆE'!G18:G570,'RASHODI ZA VIJEĆE'!S18:S570,"011")</f>
        <v>451000</v>
      </c>
      <c r="F12" s="300">
        <f>SUMIFS('RASHODI ZA VIJEĆE'!H18:H570,'RASHODI ZA VIJEĆE'!T18:T570,"011")</f>
        <v>561200</v>
      </c>
      <c r="G12" s="300">
        <f>SUMIFS('RASHODI ZA VIJEĆE'!I18:I570,'RASHODI ZA VIJEĆE'!U18:U570,"011")</f>
        <v>478405.72999999992</v>
      </c>
      <c r="H12" s="301">
        <f t="shared" ref="H12:H75" si="1">IFERROR(SUM(G12/C12),0)</f>
        <v>2.7547267123870576</v>
      </c>
      <c r="I12" s="301">
        <f t="shared" ref="I12:I75" si="2">IFERROR(SUM(G12/D12),0)</f>
        <v>1</v>
      </c>
      <c r="J12" s="301">
        <f t="shared" si="0"/>
        <v>0.85246922665716307</v>
      </c>
      <c r="K12" s="89"/>
    </row>
    <row r="13" spans="1:11" x14ac:dyDescent="0.3">
      <c r="A13" s="338" t="s">
        <v>565</v>
      </c>
      <c r="B13" s="340" t="s">
        <v>566</v>
      </c>
      <c r="C13" s="300">
        <f>SUMIFS('RASHODI ZA VIJEĆE'!E18:E570,'RASHODI ZA VIJEĆE'!Q18:Q570,"012")</f>
        <v>0</v>
      </c>
      <c r="D13" s="300">
        <f>SUMIFS('RASHODI ZA VIJEĆE'!F18:F570,'RASHODI ZA VIJEĆE'!R18:R570,"012")</f>
        <v>0</v>
      </c>
      <c r="E13" s="300">
        <f>SUMIFS('RASHODI ZA VIJEĆE'!G18:G570,'RASHODI ZA VIJEĆE'!S18:S570,"012")</f>
        <v>0</v>
      </c>
      <c r="F13" s="300">
        <f>SUMIFS('RASHODI ZA VIJEĆE'!H18:H570,'RASHODI ZA VIJEĆE'!T18:T570,"012")</f>
        <v>0</v>
      </c>
      <c r="G13" s="300">
        <f>SUMIFS('RASHODI ZA VIJEĆE'!I18:I570,'RASHODI ZA VIJEĆE'!U18:U570,"012")</f>
        <v>0</v>
      </c>
      <c r="H13" s="301">
        <f t="shared" si="1"/>
        <v>0</v>
      </c>
      <c r="I13" s="301">
        <f t="shared" si="2"/>
        <v>0</v>
      </c>
      <c r="J13" s="301">
        <f t="shared" si="0"/>
        <v>0</v>
      </c>
      <c r="K13" s="89"/>
    </row>
    <row r="14" spans="1:11" x14ac:dyDescent="0.3">
      <c r="A14" s="338" t="s">
        <v>567</v>
      </c>
      <c r="B14" s="340" t="s">
        <v>568</v>
      </c>
      <c r="C14" s="300">
        <f>SUMIFS('RASHODI ZA VIJEĆE'!E18:E570,'RASHODI ZA VIJEĆE'!Q18:Q570,"013")</f>
        <v>61218.74</v>
      </c>
      <c r="D14" s="300">
        <f>SUMIFS('RASHODI ZA VIJEĆE'!F18:F570,'RASHODI ZA VIJEĆE'!R18:R570,"013")</f>
        <v>116275.37999999998</v>
      </c>
      <c r="E14" s="300">
        <f>SUMIFS('RASHODI ZA VIJEĆE'!G18:G570,'RASHODI ZA VIJEĆE'!S18:S570,"013")</f>
        <v>177000</v>
      </c>
      <c r="F14" s="300">
        <f>SUMIFS('RASHODI ZA VIJEĆE'!H18:H570,'RASHODI ZA VIJEĆE'!T18:T570,"013")</f>
        <v>176800</v>
      </c>
      <c r="G14" s="300">
        <f>SUMIFS('RASHODI ZA VIJEĆE'!I18:I570,'RASHODI ZA VIJEĆE'!U18:U570,"013")</f>
        <v>116275.37999999998</v>
      </c>
      <c r="H14" s="301">
        <f t="shared" si="1"/>
        <v>1.8993429136241611</v>
      </c>
      <c r="I14" s="301">
        <f t="shared" si="2"/>
        <v>1</v>
      </c>
      <c r="J14" s="301">
        <f t="shared" si="0"/>
        <v>0.65766617647058812</v>
      </c>
      <c r="K14" s="89"/>
    </row>
    <row r="15" spans="1:11" x14ac:dyDescent="0.3">
      <c r="A15" s="338" t="s">
        <v>569</v>
      </c>
      <c r="B15" s="340" t="s">
        <v>570</v>
      </c>
      <c r="C15" s="300">
        <f>SUMIFS('RASHODI ZA VIJEĆE'!E18:E570,'RASHODI ZA VIJEĆE'!Q18:Q570,"014")</f>
        <v>0</v>
      </c>
      <c r="D15" s="300">
        <f>SUMIFS('RASHODI ZA VIJEĆE'!F18:F570,'RASHODI ZA VIJEĆE'!R18:R570,"014")</f>
        <v>0</v>
      </c>
      <c r="E15" s="300">
        <f>SUMIFS('RASHODI ZA VIJEĆE'!G18:G570,'RASHODI ZA VIJEĆE'!S18:S570,"014")</f>
        <v>0</v>
      </c>
      <c r="F15" s="300">
        <f>SUMIFS('RASHODI ZA VIJEĆE'!H18:H570,'RASHODI ZA VIJEĆE'!T18:T570,"014")</f>
        <v>0</v>
      </c>
      <c r="G15" s="300">
        <f>SUMIFS('RASHODI ZA VIJEĆE'!I18:I570,'RASHODI ZA VIJEĆE'!U18:U570,"014")</f>
        <v>0</v>
      </c>
      <c r="H15" s="301">
        <f t="shared" si="1"/>
        <v>0</v>
      </c>
      <c r="I15" s="301">
        <f t="shared" si="2"/>
        <v>0</v>
      </c>
      <c r="J15" s="301">
        <f t="shared" si="0"/>
        <v>0</v>
      </c>
      <c r="K15" s="89"/>
    </row>
    <row r="16" spans="1:11" x14ac:dyDescent="0.3">
      <c r="A16" s="338" t="s">
        <v>571</v>
      </c>
      <c r="B16" s="340" t="s">
        <v>572</v>
      </c>
      <c r="C16" s="300">
        <f>SUMIFS('RASHODI ZA VIJEĆE'!E18:E570,'RASHODI ZA VIJEĆE'!Q18:Q570,"015")</f>
        <v>0</v>
      </c>
      <c r="D16" s="300">
        <f>SUMIFS('RASHODI ZA VIJEĆE'!F18:F570,'RASHODI ZA VIJEĆE'!R18:R570,"015")</f>
        <v>0</v>
      </c>
      <c r="E16" s="300">
        <f>SUMIFS('RASHODI ZA VIJEĆE'!G18:G570,'RASHODI ZA VIJEĆE'!S18:S570,"015")</f>
        <v>0</v>
      </c>
      <c r="F16" s="300">
        <f>SUMIFS('RASHODI ZA VIJEĆE'!H18:H570,'RASHODI ZA VIJEĆE'!T18:T570,"015")</f>
        <v>0</v>
      </c>
      <c r="G16" s="300">
        <f>SUMIFS('RASHODI ZA VIJEĆE'!I18:I570,'RASHODI ZA VIJEĆE'!U18:U570,"015")</f>
        <v>0</v>
      </c>
      <c r="H16" s="301">
        <f t="shared" si="1"/>
        <v>0</v>
      </c>
      <c r="I16" s="301">
        <f t="shared" si="2"/>
        <v>0</v>
      </c>
      <c r="J16" s="301">
        <f t="shared" si="0"/>
        <v>0</v>
      </c>
      <c r="K16" s="89"/>
    </row>
    <row r="17" spans="1:11" x14ac:dyDescent="0.3">
      <c r="A17" s="338" t="s">
        <v>573</v>
      </c>
      <c r="B17" s="340" t="s">
        <v>574</v>
      </c>
      <c r="C17" s="300">
        <f>SUMIFS('RASHODI ZA VIJEĆE'!E18:E570,'RASHODI ZA VIJEĆE'!Q18:Q570,"016")</f>
        <v>0</v>
      </c>
      <c r="D17" s="300">
        <f>SUMIFS('RASHODI ZA VIJEĆE'!F18:F570,'RASHODI ZA VIJEĆE'!R18:R570,"016")</f>
        <v>0</v>
      </c>
      <c r="E17" s="300">
        <f>SUMIFS('RASHODI ZA VIJEĆE'!G18:G570,'RASHODI ZA VIJEĆE'!S18:S570,"016")</f>
        <v>0</v>
      </c>
      <c r="F17" s="300">
        <f>SUMIFS('RASHODI ZA VIJEĆE'!H18:H570,'RASHODI ZA VIJEĆE'!T18:T570,"016")</f>
        <v>0</v>
      </c>
      <c r="G17" s="300">
        <f>SUMIFS('RASHODI ZA VIJEĆE'!I18:I570,'RASHODI ZA VIJEĆE'!U18:U570,"016")</f>
        <v>0</v>
      </c>
      <c r="H17" s="301">
        <f t="shared" si="1"/>
        <v>0</v>
      </c>
      <c r="I17" s="301">
        <f t="shared" si="2"/>
        <v>0</v>
      </c>
      <c r="J17" s="301">
        <f t="shared" si="0"/>
        <v>0</v>
      </c>
      <c r="K17" s="89"/>
    </row>
    <row r="18" spans="1:11" x14ac:dyDescent="0.3">
      <c r="A18" s="338" t="s">
        <v>575</v>
      </c>
      <c r="B18" s="340" t="s">
        <v>576</v>
      </c>
      <c r="C18" s="300">
        <f>SUMIFS('RASHODI ZA VIJEĆE'!E18:E570,'RASHODI ZA VIJEĆE'!Q18:Q570,"017")</f>
        <v>0</v>
      </c>
      <c r="D18" s="300">
        <f>SUMIFS('RASHODI ZA VIJEĆE'!F18:F570,'RASHODI ZA VIJEĆE'!R18:R570,"017")</f>
        <v>0</v>
      </c>
      <c r="E18" s="300">
        <f>SUMIFS('RASHODI ZA VIJEĆE'!G18:G570,'RASHODI ZA VIJEĆE'!S18:S570,"017")</f>
        <v>0</v>
      </c>
      <c r="F18" s="300">
        <f>SUMIFS('RASHODI ZA VIJEĆE'!H18:H570,'RASHODI ZA VIJEĆE'!T18:T570,"017")</f>
        <v>0</v>
      </c>
      <c r="G18" s="300">
        <f>SUMIFS('RASHODI ZA VIJEĆE'!I18:I570,'RASHODI ZA VIJEĆE'!U18:U570,"017")</f>
        <v>0</v>
      </c>
      <c r="H18" s="301">
        <f t="shared" si="1"/>
        <v>0</v>
      </c>
      <c r="I18" s="301">
        <f t="shared" si="2"/>
        <v>0</v>
      </c>
      <c r="J18" s="301">
        <f t="shared" si="0"/>
        <v>0</v>
      </c>
      <c r="K18" s="89"/>
    </row>
    <row r="19" spans="1:11" x14ac:dyDescent="0.3">
      <c r="A19" s="338" t="s">
        <v>577</v>
      </c>
      <c r="B19" s="340" t="s">
        <v>578</v>
      </c>
      <c r="C19" s="300">
        <f>SUMIFS('RASHODI ZA VIJEĆE'!E18:E570,'RASHODI ZA VIJEĆE'!Q18:Q570,"018")</f>
        <v>0</v>
      </c>
      <c r="D19" s="300">
        <f>SUMIFS('RASHODI ZA VIJEĆE'!F18:F570,'RASHODI ZA VIJEĆE'!R18:R570,"018")</f>
        <v>0</v>
      </c>
      <c r="E19" s="300">
        <f>SUMIFS('RASHODI ZA VIJEĆE'!G18:G570,'RASHODI ZA VIJEĆE'!S18:S570,"018")</f>
        <v>0</v>
      </c>
      <c r="F19" s="300">
        <f>SUMIFS('RASHODI ZA VIJEĆE'!H18:H570,'RASHODI ZA VIJEĆE'!T18:T570,"018")</f>
        <v>0</v>
      </c>
      <c r="G19" s="300">
        <f>SUMIFS('RASHODI ZA VIJEĆE'!I18:I570,'RASHODI ZA VIJEĆE'!U18:U570,"018")</f>
        <v>0</v>
      </c>
      <c r="H19" s="301">
        <f t="shared" si="1"/>
        <v>0</v>
      </c>
      <c r="I19" s="301">
        <f t="shared" si="2"/>
        <v>0</v>
      </c>
      <c r="J19" s="301">
        <f t="shared" si="0"/>
        <v>0</v>
      </c>
      <c r="K19" s="89"/>
    </row>
    <row r="20" spans="1:11" s="314" customFormat="1" x14ac:dyDescent="0.3">
      <c r="A20" s="341" t="s">
        <v>579</v>
      </c>
      <c r="B20" s="342" t="s">
        <v>580</v>
      </c>
      <c r="C20" s="281">
        <f>SUM(C21:C25)</f>
        <v>0</v>
      </c>
      <c r="D20" s="281">
        <f>SUM(D21:D25)</f>
        <v>0</v>
      </c>
      <c r="E20" s="281">
        <f>SUM(E21:E25)</f>
        <v>0</v>
      </c>
      <c r="F20" s="281">
        <f>SUM(F21:F25)</f>
        <v>0</v>
      </c>
      <c r="G20" s="281">
        <f>SUM(G21:G25)</f>
        <v>0</v>
      </c>
      <c r="H20" s="343">
        <f t="shared" si="1"/>
        <v>0</v>
      </c>
      <c r="I20" s="282">
        <f t="shared" si="2"/>
        <v>0</v>
      </c>
      <c r="J20" s="282">
        <f t="shared" si="0"/>
        <v>0</v>
      </c>
      <c r="K20" s="322"/>
    </row>
    <row r="21" spans="1:11" x14ac:dyDescent="0.3">
      <c r="A21" s="338" t="s">
        <v>581</v>
      </c>
      <c r="B21" s="340" t="s">
        <v>582</v>
      </c>
      <c r="C21" s="300">
        <f>SUMIFS('RASHODI ZA VIJEĆE'!E18:E570,'RASHODI ZA VIJEĆE'!Q18:Q570,"021")</f>
        <v>0</v>
      </c>
      <c r="D21" s="300">
        <f>SUMIFS('RASHODI ZA VIJEĆE'!F18:F570,'RASHODI ZA VIJEĆE'!R18:R570,"021")</f>
        <v>0</v>
      </c>
      <c r="E21" s="300">
        <f>SUMIFS('RASHODI ZA VIJEĆE'!G18:G570,'RASHODI ZA VIJEĆE'!S18:S570,"021")</f>
        <v>0</v>
      </c>
      <c r="F21" s="300">
        <f>SUMIFS('RASHODI ZA VIJEĆE'!H18:H570,'RASHODI ZA VIJEĆE'!T18:T570,"021")</f>
        <v>0</v>
      </c>
      <c r="G21" s="300">
        <f>SUMIFS('RASHODI ZA VIJEĆE'!I18:I570,'RASHODI ZA VIJEĆE'!U18:U570,"021")</f>
        <v>0</v>
      </c>
      <c r="H21" s="301">
        <f t="shared" si="1"/>
        <v>0</v>
      </c>
      <c r="I21" s="301">
        <f t="shared" si="2"/>
        <v>0</v>
      </c>
      <c r="J21" s="301">
        <f t="shared" si="0"/>
        <v>0</v>
      </c>
      <c r="K21" s="89"/>
    </row>
    <row r="22" spans="1:11" x14ac:dyDescent="0.3">
      <c r="A22" s="338" t="s">
        <v>583</v>
      </c>
      <c r="B22" s="340" t="s">
        <v>584</v>
      </c>
      <c r="C22" s="300">
        <f>SUMIFS('RASHODI ZA VIJEĆE'!E18:E570,'RASHODI ZA VIJEĆE'!Q18:Q570,"022")</f>
        <v>0</v>
      </c>
      <c r="D22" s="300">
        <f>SUMIFS('RASHODI ZA VIJEĆE'!F18:F570,'RASHODI ZA VIJEĆE'!R18:R570,"022")</f>
        <v>0</v>
      </c>
      <c r="E22" s="300">
        <f>SUMIFS('RASHODI ZA VIJEĆE'!G18:G570,'RASHODI ZA VIJEĆE'!S18:S570,"022")</f>
        <v>0</v>
      </c>
      <c r="F22" s="300">
        <f>SUMIFS('RASHODI ZA VIJEĆE'!H18:H570,'RASHODI ZA VIJEĆE'!T18:T570,"022")</f>
        <v>0</v>
      </c>
      <c r="G22" s="300">
        <f>SUMIFS('RASHODI ZA VIJEĆE'!I18:I570,'RASHODI ZA VIJEĆE'!U18:U570,"022")</f>
        <v>0</v>
      </c>
      <c r="H22" s="301">
        <f t="shared" si="1"/>
        <v>0</v>
      </c>
      <c r="I22" s="301">
        <f t="shared" si="2"/>
        <v>0</v>
      </c>
      <c r="J22" s="301">
        <f t="shared" si="0"/>
        <v>0</v>
      </c>
      <c r="K22" s="89"/>
    </row>
    <row r="23" spans="1:11" x14ac:dyDescent="0.3">
      <c r="A23" s="338" t="s">
        <v>585</v>
      </c>
      <c r="B23" s="340" t="s">
        <v>586</v>
      </c>
      <c r="C23" s="300">
        <f>SUMIFS('RASHODI ZA VIJEĆE'!E18:E570,'RASHODI ZA VIJEĆE'!Q18:Q570,"023")</f>
        <v>0</v>
      </c>
      <c r="D23" s="300">
        <f>SUMIFS('RASHODI ZA VIJEĆE'!F18:F570,'RASHODI ZA VIJEĆE'!R18:R570,"023")</f>
        <v>0</v>
      </c>
      <c r="E23" s="300">
        <f>SUMIFS('RASHODI ZA VIJEĆE'!G18:G570,'RASHODI ZA VIJEĆE'!S18:S570,"023")</f>
        <v>0</v>
      </c>
      <c r="F23" s="300">
        <f>SUMIFS('RASHODI ZA VIJEĆE'!H18:H570,'RASHODI ZA VIJEĆE'!T18:T570,"023")</f>
        <v>0</v>
      </c>
      <c r="G23" s="300">
        <f>SUMIFS('RASHODI ZA VIJEĆE'!I18:I570,'RASHODI ZA VIJEĆE'!U18:U570,"023")</f>
        <v>0</v>
      </c>
      <c r="H23" s="301">
        <f t="shared" si="1"/>
        <v>0</v>
      </c>
      <c r="I23" s="301">
        <f t="shared" si="2"/>
        <v>0</v>
      </c>
      <c r="J23" s="301">
        <f t="shared" si="0"/>
        <v>0</v>
      </c>
      <c r="K23" s="89"/>
    </row>
    <row r="24" spans="1:11" x14ac:dyDescent="0.3">
      <c r="A24" s="338" t="s">
        <v>587</v>
      </c>
      <c r="B24" s="340" t="s">
        <v>588</v>
      </c>
      <c r="C24" s="300">
        <f>SUMIFS('RASHODI ZA VIJEĆE'!E18:E570,'RASHODI ZA VIJEĆE'!Q18:Q570,"024")</f>
        <v>0</v>
      </c>
      <c r="D24" s="300">
        <f>SUMIFS('RASHODI ZA VIJEĆE'!F18:F570,'RASHODI ZA VIJEĆE'!R18:R570,"024")</f>
        <v>0</v>
      </c>
      <c r="E24" s="300">
        <f>SUMIFS('RASHODI ZA VIJEĆE'!G18:G570,'RASHODI ZA VIJEĆE'!S18:S570,"024")</f>
        <v>0</v>
      </c>
      <c r="F24" s="300">
        <f>SUMIFS('RASHODI ZA VIJEĆE'!H18:H570,'RASHODI ZA VIJEĆE'!T18:T570,"024")</f>
        <v>0</v>
      </c>
      <c r="G24" s="300">
        <f>SUMIFS('RASHODI ZA VIJEĆE'!I18:I570,'RASHODI ZA VIJEĆE'!U18:U570,"024")</f>
        <v>0</v>
      </c>
      <c r="H24" s="301">
        <f t="shared" si="1"/>
        <v>0</v>
      </c>
      <c r="I24" s="301">
        <f t="shared" si="2"/>
        <v>0</v>
      </c>
      <c r="J24" s="301">
        <f t="shared" si="0"/>
        <v>0</v>
      </c>
      <c r="K24" s="89"/>
    </row>
    <row r="25" spans="1:11" x14ac:dyDescent="0.3">
      <c r="A25" s="338" t="s">
        <v>589</v>
      </c>
      <c r="B25" s="340" t="s">
        <v>590</v>
      </c>
      <c r="C25" s="300">
        <f>SUMIFS('RASHODI ZA VIJEĆE'!E18:E570,'RASHODI ZA VIJEĆE'!Q18:Q570,"025")</f>
        <v>0</v>
      </c>
      <c r="D25" s="300">
        <f>SUMIFS('RASHODI ZA VIJEĆE'!F18:F570,'RASHODI ZA VIJEĆE'!R18:R570,"025")</f>
        <v>0</v>
      </c>
      <c r="E25" s="300">
        <f>SUMIFS('RASHODI ZA VIJEĆE'!G18:G570,'RASHODI ZA VIJEĆE'!S18:S570,"025")</f>
        <v>0</v>
      </c>
      <c r="F25" s="300">
        <f>SUMIFS('RASHODI ZA VIJEĆE'!H18:H570,'RASHODI ZA VIJEĆE'!T18:T570,"025")</f>
        <v>0</v>
      </c>
      <c r="G25" s="300">
        <f>SUMIFS('RASHODI ZA VIJEĆE'!I18:I570,'RASHODI ZA VIJEĆE'!U18:U570,"025")</f>
        <v>0</v>
      </c>
      <c r="H25" s="301">
        <f t="shared" si="1"/>
        <v>0</v>
      </c>
      <c r="I25" s="301">
        <f t="shared" si="2"/>
        <v>0</v>
      </c>
      <c r="J25" s="301">
        <f t="shared" si="0"/>
        <v>0</v>
      </c>
      <c r="K25" s="89"/>
    </row>
    <row r="26" spans="1:11" s="314" customFormat="1" x14ac:dyDescent="0.3">
      <c r="A26" s="341" t="s">
        <v>591</v>
      </c>
      <c r="B26" s="342" t="s">
        <v>592</v>
      </c>
      <c r="C26" s="281">
        <f>SUM(C27:C32)</f>
        <v>20928.46</v>
      </c>
      <c r="D26" s="281">
        <f>SUM(D27:D32)</f>
        <v>33573.46</v>
      </c>
      <c r="E26" s="281">
        <f>SUM(E27:E32)</f>
        <v>33000</v>
      </c>
      <c r="F26" s="281">
        <f>SUM(F27:F32)</f>
        <v>34100</v>
      </c>
      <c r="G26" s="281">
        <f>SUM(G27:G32)</f>
        <v>33573.46</v>
      </c>
      <c r="H26" s="282">
        <f t="shared" si="1"/>
        <v>1.6042011691256786</v>
      </c>
      <c r="I26" s="282">
        <f t="shared" si="2"/>
        <v>1</v>
      </c>
      <c r="J26" s="282">
        <f t="shared" si="0"/>
        <v>0.98455894428152491</v>
      </c>
      <c r="K26" s="322"/>
    </row>
    <row r="27" spans="1:11" x14ac:dyDescent="0.3">
      <c r="A27" s="338" t="s">
        <v>593</v>
      </c>
      <c r="B27" s="340" t="s">
        <v>594</v>
      </c>
      <c r="C27" s="300">
        <f>SUMIFS('RASHODI ZA VIJEĆE'!E18:E570,'RASHODI ZA VIJEĆE'!Q18:Q570,"031")</f>
        <v>0</v>
      </c>
      <c r="D27" s="300">
        <f>SUMIFS('RASHODI ZA VIJEĆE'!F18:F570,'RASHODI ZA VIJEĆE'!R18:R570,"031")</f>
        <v>0</v>
      </c>
      <c r="E27" s="300">
        <f>SUMIFS('RASHODI ZA VIJEĆE'!G18:G570,'RASHODI ZA VIJEĆE'!S18:S570,"031")</f>
        <v>0</v>
      </c>
      <c r="F27" s="300">
        <f>SUMIFS('RASHODI ZA VIJEĆE'!H18:H570,'RASHODI ZA VIJEĆE'!T18:T570,"031")</f>
        <v>0</v>
      </c>
      <c r="G27" s="300">
        <f>SUMIFS('RASHODI ZA VIJEĆE'!I18:I570,'RASHODI ZA VIJEĆE'!U18:U570,"031")</f>
        <v>0</v>
      </c>
      <c r="H27" s="301">
        <f t="shared" si="1"/>
        <v>0</v>
      </c>
      <c r="I27" s="301">
        <f t="shared" si="2"/>
        <v>0</v>
      </c>
      <c r="J27" s="301">
        <f t="shared" si="0"/>
        <v>0</v>
      </c>
      <c r="K27" s="89"/>
    </row>
    <row r="28" spans="1:11" x14ac:dyDescent="0.3">
      <c r="A28" s="338" t="s">
        <v>595</v>
      </c>
      <c r="B28" s="340" t="s">
        <v>596</v>
      </c>
      <c r="C28" s="300">
        <f>SUMIFS('RASHODI ZA VIJEĆE'!E18:E570,'RASHODI ZA VIJEĆE'!Q18:Q570,"032")</f>
        <v>20338</v>
      </c>
      <c r="D28" s="300">
        <f>SUMIFS('RASHODI ZA VIJEĆE'!F18:F570,'RASHODI ZA VIJEĆE'!R18:R570,"032")</f>
        <v>32008</v>
      </c>
      <c r="E28" s="300">
        <f>SUMIFS('RASHODI ZA VIJEĆE'!G18:G570,'RASHODI ZA VIJEĆE'!S18:S570,"032")</f>
        <v>28000</v>
      </c>
      <c r="F28" s="300">
        <f>SUMIFS('RASHODI ZA VIJEĆE'!H18:H570,'RASHODI ZA VIJEĆE'!T18:T570,"032")</f>
        <v>32100</v>
      </c>
      <c r="G28" s="300">
        <f>SUMIFS('RASHODI ZA VIJEĆE'!I18:I570,'RASHODI ZA VIJEĆE'!U18:U570,"032")</f>
        <v>32008</v>
      </c>
      <c r="H28" s="301">
        <f t="shared" si="1"/>
        <v>1.5738027337988003</v>
      </c>
      <c r="I28" s="301">
        <f t="shared" si="2"/>
        <v>1</v>
      </c>
      <c r="J28" s="301">
        <f t="shared" si="0"/>
        <v>0.99713395638629287</v>
      </c>
      <c r="K28" s="89"/>
    </row>
    <row r="29" spans="1:11" x14ac:dyDescent="0.3">
      <c r="A29" s="338" t="s">
        <v>597</v>
      </c>
      <c r="B29" s="340" t="s">
        <v>598</v>
      </c>
      <c r="C29" s="300">
        <f>SUMIFS('RASHODI ZA VIJEĆE'!E18:E570,'RASHODI ZA VIJEĆE'!Q18:Q570,"033")</f>
        <v>0</v>
      </c>
      <c r="D29" s="300">
        <f>SUMIFS('RASHODI ZA VIJEĆE'!F18:F570,'RASHODI ZA VIJEĆE'!R18:R570,"033")</f>
        <v>0</v>
      </c>
      <c r="E29" s="300">
        <f>SUMIFS('RASHODI ZA VIJEĆE'!G18:G570,'RASHODI ZA VIJEĆE'!S18:S570,"033")</f>
        <v>0</v>
      </c>
      <c r="F29" s="300">
        <f>SUMIFS('RASHODI ZA VIJEĆE'!H18:H570,'RASHODI ZA VIJEĆE'!T18:T570,"033")</f>
        <v>0</v>
      </c>
      <c r="G29" s="300">
        <f>SUMIFS('RASHODI ZA VIJEĆE'!I18:I570,'RASHODI ZA VIJEĆE'!U18:U570,"033")</f>
        <v>0</v>
      </c>
      <c r="H29" s="301">
        <f t="shared" si="1"/>
        <v>0</v>
      </c>
      <c r="I29" s="301">
        <f t="shared" si="2"/>
        <v>0</v>
      </c>
      <c r="J29" s="301">
        <f t="shared" si="0"/>
        <v>0</v>
      </c>
      <c r="K29" s="89"/>
    </row>
    <row r="30" spans="1:11" x14ac:dyDescent="0.3">
      <c r="A30" s="338" t="s">
        <v>599</v>
      </c>
      <c r="B30" s="340" t="s">
        <v>600</v>
      </c>
      <c r="C30" s="300">
        <f>SUMIFS('RASHODI ZA VIJEĆE'!E18:E570,'RASHODI ZA VIJEĆE'!Q18:Q570,"034")</f>
        <v>0</v>
      </c>
      <c r="D30" s="300">
        <f>SUMIFS('RASHODI ZA VIJEĆE'!F18:F570,'RASHODI ZA VIJEĆE'!R18:R570,"034")</f>
        <v>0</v>
      </c>
      <c r="E30" s="300">
        <f>SUMIFS('RASHODI ZA VIJEĆE'!G18:G570,'RASHODI ZA VIJEĆE'!S18:S570,"034")</f>
        <v>0</v>
      </c>
      <c r="F30" s="300">
        <f>SUMIFS('RASHODI ZA VIJEĆE'!H18:H570,'RASHODI ZA VIJEĆE'!T18:T570,"034")</f>
        <v>0</v>
      </c>
      <c r="G30" s="300">
        <f>SUMIFS('RASHODI ZA VIJEĆE'!I18:I570,'RASHODI ZA VIJEĆE'!U18:U570,"034")</f>
        <v>0</v>
      </c>
      <c r="H30" s="301">
        <f t="shared" si="1"/>
        <v>0</v>
      </c>
      <c r="I30" s="301">
        <f t="shared" si="2"/>
        <v>0</v>
      </c>
      <c r="J30" s="301">
        <f t="shared" si="0"/>
        <v>0</v>
      </c>
      <c r="K30" s="89"/>
    </row>
    <row r="31" spans="1:11" x14ac:dyDescent="0.3">
      <c r="A31" s="338" t="s">
        <v>601</v>
      </c>
      <c r="B31" s="340" t="s">
        <v>602</v>
      </c>
      <c r="C31" s="300">
        <f>SUMIFS('RASHODI ZA VIJEĆE'!E18:E570,'RASHODI ZA VIJEĆE'!Q18:Q570,"035")</f>
        <v>0</v>
      </c>
      <c r="D31" s="300">
        <f>SUMIFS('RASHODI ZA VIJEĆE'!F18:F570,'RASHODI ZA VIJEĆE'!R18:R570,"035")</f>
        <v>0</v>
      </c>
      <c r="E31" s="300">
        <f>SUMIFS('RASHODI ZA VIJEĆE'!G18:G570,'RASHODI ZA VIJEĆE'!S18:S570,"035")</f>
        <v>0</v>
      </c>
      <c r="F31" s="300">
        <f>SUMIFS('RASHODI ZA VIJEĆE'!H18:H570,'RASHODI ZA VIJEĆE'!T18:T570,"035")</f>
        <v>0</v>
      </c>
      <c r="G31" s="300">
        <f>SUMIFS('RASHODI ZA VIJEĆE'!I18:I570,'RASHODI ZA VIJEĆE'!U18:U570,"035")</f>
        <v>0</v>
      </c>
      <c r="H31" s="301">
        <f t="shared" si="1"/>
        <v>0</v>
      </c>
      <c r="I31" s="301">
        <f t="shared" si="2"/>
        <v>0</v>
      </c>
      <c r="J31" s="301">
        <f t="shared" si="0"/>
        <v>0</v>
      </c>
      <c r="K31" s="89"/>
    </row>
    <row r="32" spans="1:11" x14ac:dyDescent="0.3">
      <c r="A32" s="338" t="s">
        <v>603</v>
      </c>
      <c r="B32" s="340" t="s">
        <v>604</v>
      </c>
      <c r="C32" s="300">
        <f>SUMIFS('RASHODI ZA VIJEĆE'!E18:E570,'RASHODI ZA VIJEĆE'!Q18:Q570,"036")</f>
        <v>590.46</v>
      </c>
      <c r="D32" s="300">
        <f>SUMIFS('RASHODI ZA VIJEĆE'!F18:F570,'RASHODI ZA VIJEĆE'!R18:R570,"036")</f>
        <v>1565.46</v>
      </c>
      <c r="E32" s="300">
        <f>SUMIFS('RASHODI ZA VIJEĆE'!G18:G570,'RASHODI ZA VIJEĆE'!S18:S570,"036")</f>
        <v>5000</v>
      </c>
      <c r="F32" s="300">
        <f>SUMIFS('RASHODI ZA VIJEĆE'!H18:H570,'RASHODI ZA VIJEĆE'!T18:T570,"036")</f>
        <v>2000</v>
      </c>
      <c r="G32" s="300">
        <f>SUMIFS('RASHODI ZA VIJEĆE'!I18:I570,'RASHODI ZA VIJEĆE'!U18:U570,"036")</f>
        <v>1565.46</v>
      </c>
      <c r="H32" s="301">
        <f t="shared" si="1"/>
        <v>2.6512549537648611</v>
      </c>
      <c r="I32" s="301">
        <f t="shared" si="2"/>
        <v>1</v>
      </c>
      <c r="J32" s="301">
        <f t="shared" si="0"/>
        <v>0.78273000000000004</v>
      </c>
      <c r="K32" s="89"/>
    </row>
    <row r="33" spans="1:11" s="314" customFormat="1" x14ac:dyDescent="0.3">
      <c r="A33" s="341" t="s">
        <v>605</v>
      </c>
      <c r="B33" s="342" t="s">
        <v>606</v>
      </c>
      <c r="C33" s="281">
        <f>SUM(C34:C42)</f>
        <v>60746.01999999999</v>
      </c>
      <c r="D33" s="281">
        <f>SUM(D34:D42)</f>
        <v>294516.87</v>
      </c>
      <c r="E33" s="281">
        <f>SUM(E34:E42)</f>
        <v>417500</v>
      </c>
      <c r="F33" s="281">
        <f>SUM(F34:F42)</f>
        <v>414300</v>
      </c>
      <c r="G33" s="281">
        <f>SUM(G34:G42)</f>
        <v>294516.87</v>
      </c>
      <c r="H33" s="282">
        <f t="shared" si="1"/>
        <v>4.8483319565627516</v>
      </c>
      <c r="I33" s="282">
        <f t="shared" si="2"/>
        <v>1</v>
      </c>
      <c r="J33" s="282">
        <f t="shared" si="0"/>
        <v>0.71087827661115133</v>
      </c>
      <c r="K33" s="322"/>
    </row>
    <row r="34" spans="1:11" x14ac:dyDescent="0.3">
      <c r="A34" s="338" t="s">
        <v>607</v>
      </c>
      <c r="B34" s="340" t="s">
        <v>608</v>
      </c>
      <c r="C34" s="300">
        <f>SUMIFS('RASHODI ZA VIJEĆE'!E18:E570,'RASHODI ZA VIJEĆE'!Q18:Q570,"041")</f>
        <v>0</v>
      </c>
      <c r="D34" s="300">
        <f>SUMIFS('RASHODI ZA VIJEĆE'!F18:F570,'RASHODI ZA VIJEĆE'!R18:R570,"041")</f>
        <v>0</v>
      </c>
      <c r="E34" s="300">
        <f>SUMIFS('RASHODI ZA VIJEĆE'!G18:G570,'RASHODI ZA VIJEĆE'!S18:S570,"041")</f>
        <v>0</v>
      </c>
      <c r="F34" s="300">
        <f>SUMIFS('RASHODI ZA VIJEĆE'!H18:H570,'RASHODI ZA VIJEĆE'!T18:T570,"041")</f>
        <v>0</v>
      </c>
      <c r="G34" s="300">
        <f>SUMIFS('RASHODI ZA VIJEĆE'!I18:I570,'RASHODI ZA VIJEĆE'!U18:U570,"041")</f>
        <v>0</v>
      </c>
      <c r="H34" s="301">
        <f t="shared" si="1"/>
        <v>0</v>
      </c>
      <c r="I34" s="301">
        <f t="shared" si="2"/>
        <v>0</v>
      </c>
      <c r="J34" s="301">
        <f t="shared" si="0"/>
        <v>0</v>
      </c>
      <c r="K34" s="89"/>
    </row>
    <row r="35" spans="1:11" x14ac:dyDescent="0.3">
      <c r="A35" s="338" t="s">
        <v>609</v>
      </c>
      <c r="B35" s="340" t="s">
        <v>610</v>
      </c>
      <c r="C35" s="300">
        <f>SUMIFS('RASHODI ZA VIJEĆE'!E18:E570,'RASHODI ZA VIJEĆE'!Q18:Q570,"042")</f>
        <v>9075</v>
      </c>
      <c r="D35" s="300">
        <f>SUMIFS('RASHODI ZA VIJEĆE'!F18:F570,'RASHODI ZA VIJEĆE'!R18:R570,"042")</f>
        <v>17475</v>
      </c>
      <c r="E35" s="300">
        <f>SUMIFS('RASHODI ZA VIJEĆE'!G18:G570,'RASHODI ZA VIJEĆE'!S18:S570,"042")</f>
        <v>62500</v>
      </c>
      <c r="F35" s="300">
        <f>SUMIFS('RASHODI ZA VIJEĆE'!H18:H570,'RASHODI ZA VIJEĆE'!T18:T570,"042")</f>
        <v>55000</v>
      </c>
      <c r="G35" s="300">
        <f>SUMIFS('RASHODI ZA VIJEĆE'!I18:I570,'RASHODI ZA VIJEĆE'!U18:U570,"042")</f>
        <v>17475</v>
      </c>
      <c r="H35" s="301">
        <f t="shared" si="1"/>
        <v>1.9256198347107438</v>
      </c>
      <c r="I35" s="301">
        <f t="shared" si="2"/>
        <v>1</v>
      </c>
      <c r="J35" s="301">
        <f t="shared" si="0"/>
        <v>0.31772727272727275</v>
      </c>
      <c r="K35" s="89"/>
    </row>
    <row r="36" spans="1:11" x14ac:dyDescent="0.3">
      <c r="A36" s="338" t="s">
        <v>611</v>
      </c>
      <c r="B36" s="340" t="s">
        <v>612</v>
      </c>
      <c r="C36" s="300">
        <f>SUMIFS('RASHODI ZA VIJEĆE'!E18:E570,'RASHODI ZA VIJEĆE'!Q18:Q570,"043")</f>
        <v>26839.339999999997</v>
      </c>
      <c r="D36" s="300">
        <f>SUMIFS('RASHODI ZA VIJEĆE'!F18:F570,'RASHODI ZA VIJEĆE'!R18:R570,"043")</f>
        <v>65674.899999999994</v>
      </c>
      <c r="E36" s="300">
        <f>SUMIFS('RASHODI ZA VIJEĆE'!G18:G570,'RASHODI ZA VIJEĆE'!S18:S570,"043")</f>
        <v>79000</v>
      </c>
      <c r="F36" s="300">
        <f>SUMIFS('RASHODI ZA VIJEĆE'!H18:H570,'RASHODI ZA VIJEĆE'!T18:T570,"043")</f>
        <v>72000</v>
      </c>
      <c r="G36" s="300">
        <f>SUMIFS('RASHODI ZA VIJEĆE'!I18:I570,'RASHODI ZA VIJEĆE'!U18:U570,"043")</f>
        <v>65674.899999999994</v>
      </c>
      <c r="H36" s="301">
        <f t="shared" si="1"/>
        <v>2.4469640460607454</v>
      </c>
      <c r="I36" s="301">
        <f t="shared" si="2"/>
        <v>1</v>
      </c>
      <c r="J36" s="301">
        <f t="shared" si="0"/>
        <v>0.9121513888888888</v>
      </c>
      <c r="K36" s="89"/>
    </row>
    <row r="37" spans="1:11" x14ac:dyDescent="0.3">
      <c r="A37" s="338" t="s">
        <v>613</v>
      </c>
      <c r="B37" s="340" t="s">
        <v>614</v>
      </c>
      <c r="C37" s="300">
        <f>SUMIFS('RASHODI ZA VIJEĆE'!E18:E570,'RASHODI ZA VIJEĆE'!Q18:Q570,"044")</f>
        <v>832.81</v>
      </c>
      <c r="D37" s="300">
        <f>SUMIFS('RASHODI ZA VIJEĆE'!F18:F570,'RASHODI ZA VIJEĆE'!R18:R570,"044")</f>
        <v>73491.81</v>
      </c>
      <c r="E37" s="300">
        <f>SUMIFS('RASHODI ZA VIJEĆE'!G18:G570,'RASHODI ZA VIJEĆE'!S18:S570,"044")</f>
        <v>50000</v>
      </c>
      <c r="F37" s="300">
        <f>SUMIFS('RASHODI ZA VIJEĆE'!H18:H570,'RASHODI ZA VIJEĆE'!T18:T570,"044")</f>
        <v>80000</v>
      </c>
      <c r="G37" s="300">
        <f>SUMIFS('RASHODI ZA VIJEĆE'!I18:I570,'RASHODI ZA VIJEĆE'!U18:U570,"044")</f>
        <v>73491.81</v>
      </c>
      <c r="H37" s="301">
        <f t="shared" si="1"/>
        <v>88.24559023066486</v>
      </c>
      <c r="I37" s="301">
        <f t="shared" si="2"/>
        <v>1</v>
      </c>
      <c r="J37" s="301">
        <f t="shared" si="0"/>
        <v>0.91864762499999997</v>
      </c>
      <c r="K37" s="89"/>
    </row>
    <row r="38" spans="1:11" x14ac:dyDescent="0.3">
      <c r="A38" s="338" t="s">
        <v>615</v>
      </c>
      <c r="B38" s="340" t="s">
        <v>616</v>
      </c>
      <c r="C38" s="300">
        <f>SUMIFS('RASHODI ZA VIJEĆE'!E18:E570,'RASHODI ZA VIJEĆE'!Q18:Q570,"045")</f>
        <v>18371.71</v>
      </c>
      <c r="D38" s="300">
        <f>SUMIFS('RASHODI ZA VIJEĆE'!F18:F570,'RASHODI ZA VIJEĆE'!R18:R570,"045")</f>
        <v>127905.8</v>
      </c>
      <c r="E38" s="300">
        <f>SUMIFS('RASHODI ZA VIJEĆE'!G18:G570,'RASHODI ZA VIJEĆE'!S18:S570,"045")</f>
        <v>201000</v>
      </c>
      <c r="F38" s="300">
        <f>SUMIFS('RASHODI ZA VIJEĆE'!H18:H570,'RASHODI ZA VIJEĆE'!T18:T570,"045")</f>
        <v>196000</v>
      </c>
      <c r="G38" s="300">
        <f>SUMIFS('RASHODI ZA VIJEĆE'!I18:I570,'RASHODI ZA VIJEĆE'!U18:U570,"045")</f>
        <v>127905.8</v>
      </c>
      <c r="H38" s="301">
        <f t="shared" si="1"/>
        <v>6.9621064125222967</v>
      </c>
      <c r="I38" s="301">
        <f t="shared" si="2"/>
        <v>1</v>
      </c>
      <c r="J38" s="301">
        <f t="shared" si="0"/>
        <v>0.65258061224489794</v>
      </c>
      <c r="K38" s="89"/>
    </row>
    <row r="39" spans="1:11" x14ac:dyDescent="0.3">
      <c r="A39" s="338" t="s">
        <v>617</v>
      </c>
      <c r="B39" s="340" t="s">
        <v>618</v>
      </c>
      <c r="C39" s="300">
        <f>SUMIFS('RASHODI ZA VIJEĆE'!E18:E570,'RASHODI ZA VIJEĆE'!Q18:Q570,"046")</f>
        <v>5627.16</v>
      </c>
      <c r="D39" s="300">
        <f>SUMIFS('RASHODI ZA VIJEĆE'!F18:F570,'RASHODI ZA VIJEĆE'!R18:R570,"046")</f>
        <v>9969.36</v>
      </c>
      <c r="E39" s="300">
        <f>SUMIFS('RASHODI ZA VIJEĆE'!G18:G570,'RASHODI ZA VIJEĆE'!S18:S570,"046")</f>
        <v>25000</v>
      </c>
      <c r="F39" s="300">
        <f>SUMIFS('RASHODI ZA VIJEĆE'!H18:H570,'RASHODI ZA VIJEĆE'!T18:T570,"046")</f>
        <v>11300</v>
      </c>
      <c r="G39" s="300">
        <f>SUMIFS('RASHODI ZA VIJEĆE'!I18:I570,'RASHODI ZA VIJEĆE'!U18:U570,"046")</f>
        <v>9969.36</v>
      </c>
      <c r="H39" s="301">
        <f t="shared" si="1"/>
        <v>1.7716503529311411</v>
      </c>
      <c r="I39" s="301">
        <f t="shared" si="2"/>
        <v>1</v>
      </c>
      <c r="J39" s="301">
        <f t="shared" si="0"/>
        <v>0.88224424778761068</v>
      </c>
      <c r="K39" s="89"/>
    </row>
    <row r="40" spans="1:11" x14ac:dyDescent="0.3">
      <c r="A40" s="338" t="s">
        <v>619</v>
      </c>
      <c r="B40" s="340" t="s">
        <v>620</v>
      </c>
      <c r="C40" s="300">
        <f>SUMIFS('RASHODI ZA VIJEĆE'!E18:E570,'RASHODI ZA VIJEĆE'!Q18:Q570,"047")</f>
        <v>0</v>
      </c>
      <c r="D40" s="300">
        <f>SUMIFS('RASHODI ZA VIJEĆE'!F18:F570,'RASHODI ZA VIJEĆE'!R18:R570,"047")</f>
        <v>0</v>
      </c>
      <c r="E40" s="300">
        <f>SUMIFS('RASHODI ZA VIJEĆE'!G18:G570,'RASHODI ZA VIJEĆE'!S18:S570,"047")</f>
        <v>0</v>
      </c>
      <c r="F40" s="300">
        <f>SUMIFS('RASHODI ZA VIJEĆE'!H18:H570,'RASHODI ZA VIJEĆE'!T18:T570,"047")</f>
        <v>0</v>
      </c>
      <c r="G40" s="300">
        <f>SUMIFS('RASHODI ZA VIJEĆE'!I18:I570,'RASHODI ZA VIJEĆE'!U18:U570,"047")</f>
        <v>0</v>
      </c>
      <c r="H40" s="301">
        <f t="shared" si="1"/>
        <v>0</v>
      </c>
      <c r="I40" s="301">
        <f t="shared" si="2"/>
        <v>0</v>
      </c>
      <c r="J40" s="301">
        <f t="shared" si="0"/>
        <v>0</v>
      </c>
      <c r="K40" s="89"/>
    </row>
    <row r="41" spans="1:11" x14ac:dyDescent="0.3">
      <c r="A41" s="338" t="s">
        <v>621</v>
      </c>
      <c r="B41" s="340" t="s">
        <v>622</v>
      </c>
      <c r="C41" s="300">
        <f>SUMIFS('RASHODI ZA VIJEĆE'!E18:E570,'RASHODI ZA VIJEĆE'!Q18:Q570,"048")</f>
        <v>0</v>
      </c>
      <c r="D41" s="300">
        <f>SUMIFS('RASHODI ZA VIJEĆE'!F18:F570,'RASHODI ZA VIJEĆE'!R18:R570,"048")</f>
        <v>0</v>
      </c>
      <c r="E41" s="300">
        <f>SUMIFS('RASHODI ZA VIJEĆE'!G18:G570,'RASHODI ZA VIJEĆE'!S18:S570,"048")</f>
        <v>0</v>
      </c>
      <c r="F41" s="300">
        <f>SUMIFS('RASHODI ZA VIJEĆE'!H18:H570,'RASHODI ZA VIJEĆE'!T18:T570,"048")</f>
        <v>0</v>
      </c>
      <c r="G41" s="300">
        <f>SUMIFS('RASHODI ZA VIJEĆE'!I18:I570,'RASHODI ZA VIJEĆE'!U18:U570,"048")</f>
        <v>0</v>
      </c>
      <c r="H41" s="301">
        <f t="shared" si="1"/>
        <v>0</v>
      </c>
      <c r="I41" s="301">
        <f t="shared" si="2"/>
        <v>0</v>
      </c>
      <c r="J41" s="301">
        <f t="shared" si="0"/>
        <v>0</v>
      </c>
      <c r="K41" s="89"/>
    </row>
    <row r="42" spans="1:11" x14ac:dyDescent="0.3">
      <c r="A42" s="338" t="s">
        <v>623</v>
      </c>
      <c r="B42" s="340" t="s">
        <v>624</v>
      </c>
      <c r="C42" s="300">
        <f>SUMIFS('RASHODI ZA VIJEĆE'!E18:E570,'RASHODI ZA VIJEĆE'!Q18:Q570,"049")</f>
        <v>0</v>
      </c>
      <c r="D42" s="300">
        <f>SUMIFS('RASHODI ZA VIJEĆE'!F18:F570,'RASHODI ZA VIJEĆE'!R18:R570,"049")</f>
        <v>0</v>
      </c>
      <c r="E42" s="300">
        <f>SUMIFS('RASHODI ZA VIJEĆE'!G18:G570,'RASHODI ZA VIJEĆE'!S18:S570,"049")</f>
        <v>0</v>
      </c>
      <c r="F42" s="300">
        <f>SUMIFS('RASHODI ZA VIJEĆE'!H18:H570,'RASHODI ZA VIJEĆE'!T18:T570,"049")</f>
        <v>0</v>
      </c>
      <c r="G42" s="300">
        <f>SUMIFS('RASHODI ZA VIJEĆE'!I18:I570,'RASHODI ZA VIJEĆE'!U18:U570,"049")</f>
        <v>0</v>
      </c>
      <c r="H42" s="301">
        <f t="shared" si="1"/>
        <v>0</v>
      </c>
      <c r="I42" s="301">
        <f t="shared" si="2"/>
        <v>0</v>
      </c>
      <c r="J42" s="301">
        <f t="shared" ref="J42:J73" si="3">IFERROR(SUM(G42/F42),0)</f>
        <v>0</v>
      </c>
      <c r="K42" s="89"/>
    </row>
    <row r="43" spans="1:11" s="314" customFormat="1" x14ac:dyDescent="0.3">
      <c r="A43" s="341" t="s">
        <v>625</v>
      </c>
      <c r="B43" s="342" t="s">
        <v>626</v>
      </c>
      <c r="C43" s="281">
        <f>SUM(C44:C49)</f>
        <v>61017.66</v>
      </c>
      <c r="D43" s="281">
        <f>SUM(D44:D49)</f>
        <v>209127.69</v>
      </c>
      <c r="E43" s="281">
        <f>SUM(E44:E49)</f>
        <v>99000</v>
      </c>
      <c r="F43" s="281">
        <f>SUM(F44:F49)</f>
        <v>235000</v>
      </c>
      <c r="G43" s="281">
        <f>SUM(G44:G49)</f>
        <v>209127.69</v>
      </c>
      <c r="H43" s="282">
        <f t="shared" si="1"/>
        <v>3.4273305465991322</v>
      </c>
      <c r="I43" s="282">
        <f t="shared" si="2"/>
        <v>1</v>
      </c>
      <c r="J43" s="282">
        <f t="shared" si="3"/>
        <v>0.88990506382978729</v>
      </c>
      <c r="K43" s="322"/>
    </row>
    <row r="44" spans="1:11" x14ac:dyDescent="0.3">
      <c r="A44" s="338" t="s">
        <v>627</v>
      </c>
      <c r="B44" s="340" t="s">
        <v>628</v>
      </c>
      <c r="C44" s="300">
        <f>SUMIFS('RASHODI ZA VIJEĆE'!E18:E570,'RASHODI ZA VIJEĆE'!Q18:Q570,"051")</f>
        <v>26526.170000000002</v>
      </c>
      <c r="D44" s="300">
        <f>SUMIFS('RASHODI ZA VIJEĆE'!F18:F570,'RASHODI ZA VIJEĆE'!R18:R570,"051")</f>
        <v>153405.6</v>
      </c>
      <c r="E44" s="300">
        <f>SUMIFS('RASHODI ZA VIJEĆE'!G18:G570,'RASHODI ZA VIJEĆE'!S18:S570,"051")</f>
        <v>53000</v>
      </c>
      <c r="F44" s="300">
        <f>SUMIFS('RASHODI ZA VIJEĆE'!H18:H570,'RASHODI ZA VIJEĆE'!T18:T570,"051")</f>
        <v>152000</v>
      </c>
      <c r="G44" s="300">
        <f>SUMIFS('RASHODI ZA VIJEĆE'!I18:I570,'RASHODI ZA VIJEĆE'!U18:U570,"051")</f>
        <v>153405.6</v>
      </c>
      <c r="H44" s="301">
        <f t="shared" si="1"/>
        <v>5.7831794035852138</v>
      </c>
      <c r="I44" s="301">
        <f t="shared" si="2"/>
        <v>1</v>
      </c>
      <c r="J44" s="301">
        <f t="shared" si="3"/>
        <v>1.0092473684210526</v>
      </c>
      <c r="K44" s="89"/>
    </row>
    <row r="45" spans="1:11" x14ac:dyDescent="0.3">
      <c r="A45" s="338" t="s">
        <v>629</v>
      </c>
      <c r="B45" s="340" t="s">
        <v>630</v>
      </c>
      <c r="C45" s="300">
        <f>SUMIFS('RASHODI ZA VIJEĆE'!E18:E570,'RASHODI ZA VIJEĆE'!Q18:Q570,"052")</f>
        <v>0</v>
      </c>
      <c r="D45" s="300">
        <f>SUMIFS('RASHODI ZA VIJEĆE'!F18:F570,'RASHODI ZA VIJEĆE'!R18:R570,"052")</f>
        <v>0</v>
      </c>
      <c r="E45" s="300">
        <f>SUMIFS('RASHODI ZA VIJEĆE'!G18:G570,'RASHODI ZA VIJEĆE'!S18:S570,"052")</f>
        <v>0</v>
      </c>
      <c r="F45" s="300">
        <f>SUMIFS('RASHODI ZA VIJEĆE'!H18:H570,'RASHODI ZA VIJEĆE'!T18:T570,"052")</f>
        <v>0</v>
      </c>
      <c r="G45" s="300">
        <f>SUMIFS('RASHODI ZA VIJEĆE'!I18:I570,'RASHODI ZA VIJEĆE'!U18:U570,"052")</f>
        <v>0</v>
      </c>
      <c r="H45" s="301">
        <f t="shared" si="1"/>
        <v>0</v>
      </c>
      <c r="I45" s="301">
        <f t="shared" si="2"/>
        <v>0</v>
      </c>
      <c r="J45" s="301">
        <f t="shared" si="3"/>
        <v>0</v>
      </c>
      <c r="K45" s="89"/>
    </row>
    <row r="46" spans="1:11" x14ac:dyDescent="0.3">
      <c r="A46" s="338" t="s">
        <v>631</v>
      </c>
      <c r="B46" s="340" t="s">
        <v>632</v>
      </c>
      <c r="C46" s="300">
        <f>SUMIFS('RASHODI ZA VIJEĆE'!E18:E570,'RASHODI ZA VIJEĆE'!Q18:Q570,"053")</f>
        <v>0</v>
      </c>
      <c r="D46" s="300">
        <f>SUMIFS('RASHODI ZA VIJEĆE'!F18:F570,'RASHODI ZA VIJEĆE'!R18:R570,"053")</f>
        <v>0</v>
      </c>
      <c r="E46" s="300">
        <f>SUMIFS('RASHODI ZA VIJEĆE'!G18:G570,'RASHODI ZA VIJEĆE'!S18:S570,"053")</f>
        <v>0</v>
      </c>
      <c r="F46" s="300">
        <f>SUMIFS('RASHODI ZA VIJEĆE'!H18:H570,'RASHODI ZA VIJEĆE'!T18:T570,"053")</f>
        <v>0</v>
      </c>
      <c r="G46" s="300">
        <f>SUMIFS('RASHODI ZA VIJEĆE'!I18:I570,'RASHODI ZA VIJEĆE'!U18:U570,"053")</f>
        <v>0</v>
      </c>
      <c r="H46" s="301">
        <f t="shared" si="1"/>
        <v>0</v>
      </c>
      <c r="I46" s="301">
        <f t="shared" si="2"/>
        <v>0</v>
      </c>
      <c r="J46" s="301">
        <f t="shared" si="3"/>
        <v>0</v>
      </c>
      <c r="K46" s="89"/>
    </row>
    <row r="47" spans="1:11" x14ac:dyDescent="0.3">
      <c r="A47" s="338" t="s">
        <v>633</v>
      </c>
      <c r="B47" s="340" t="s">
        <v>634</v>
      </c>
      <c r="C47" s="300">
        <f>SUMIFS('RASHODI ZA VIJEĆE'!E18:E570,'RASHODI ZA VIJEĆE'!Q18:Q570,"054")</f>
        <v>34491.49</v>
      </c>
      <c r="D47" s="300">
        <f>SUMIFS('RASHODI ZA VIJEĆE'!F18:F570,'RASHODI ZA VIJEĆE'!R18:R570,"054")</f>
        <v>55722.09</v>
      </c>
      <c r="E47" s="300">
        <f>SUMIFS('RASHODI ZA VIJEĆE'!G18:G570,'RASHODI ZA VIJEĆE'!S18:S570,"054")</f>
        <v>46000</v>
      </c>
      <c r="F47" s="300">
        <f>SUMIFS('RASHODI ZA VIJEĆE'!H18:H570,'RASHODI ZA VIJEĆE'!T18:T570,"054")</f>
        <v>83000</v>
      </c>
      <c r="G47" s="300">
        <f>SUMIFS('RASHODI ZA VIJEĆE'!I18:I570,'RASHODI ZA VIJEĆE'!U18:U570,"054")</f>
        <v>55722.09</v>
      </c>
      <c r="H47" s="301">
        <f t="shared" si="1"/>
        <v>1.6155315412584379</v>
      </c>
      <c r="I47" s="301">
        <f t="shared" si="2"/>
        <v>1</v>
      </c>
      <c r="J47" s="301">
        <f t="shared" si="3"/>
        <v>0.67135048192771085</v>
      </c>
      <c r="K47" s="89"/>
    </row>
    <row r="48" spans="1:11" x14ac:dyDescent="0.3">
      <c r="A48" s="338" t="s">
        <v>635</v>
      </c>
      <c r="B48" s="340" t="s">
        <v>636</v>
      </c>
      <c r="C48" s="300">
        <f>SUMIFS('RASHODI ZA VIJEĆE'!E18:E570,'RASHODI ZA VIJEĆE'!Q18:Q570,"055")</f>
        <v>0</v>
      </c>
      <c r="D48" s="300">
        <f>SUMIFS('RASHODI ZA VIJEĆE'!F18:F570,'RASHODI ZA VIJEĆE'!R18:R570,"055")</f>
        <v>0</v>
      </c>
      <c r="E48" s="300">
        <f>SUMIFS('RASHODI ZA VIJEĆE'!G18:G570,'RASHODI ZA VIJEĆE'!S18:S570,"055")</f>
        <v>0</v>
      </c>
      <c r="F48" s="300">
        <f>SUMIFS('RASHODI ZA VIJEĆE'!H18:H570,'RASHODI ZA VIJEĆE'!T18:T570,"055")</f>
        <v>0</v>
      </c>
      <c r="G48" s="300">
        <f>SUMIFS('RASHODI ZA VIJEĆE'!I18:I570,'RASHODI ZA VIJEĆE'!U18:U570,"055")</f>
        <v>0</v>
      </c>
      <c r="H48" s="301">
        <f t="shared" si="1"/>
        <v>0</v>
      </c>
      <c r="I48" s="301">
        <f t="shared" si="2"/>
        <v>0</v>
      </c>
      <c r="J48" s="301">
        <f t="shared" si="3"/>
        <v>0</v>
      </c>
      <c r="K48" s="89"/>
    </row>
    <row r="49" spans="1:11" x14ac:dyDescent="0.3">
      <c r="A49" s="338" t="s">
        <v>637</v>
      </c>
      <c r="B49" s="340" t="s">
        <v>638</v>
      </c>
      <c r="C49" s="300">
        <f>SUMIFS('RASHODI ZA VIJEĆE'!E18:E570,'RASHODI ZA VIJEĆE'!Q18:Q570,"056")</f>
        <v>0</v>
      </c>
      <c r="D49" s="300">
        <f>SUMIFS('RASHODI ZA VIJEĆE'!F18:F570,'RASHODI ZA VIJEĆE'!R18:R570,"056")</f>
        <v>0</v>
      </c>
      <c r="E49" s="300">
        <f>SUMIFS('RASHODI ZA VIJEĆE'!G18:G570,'RASHODI ZA VIJEĆE'!S18:S570,"056")</f>
        <v>0</v>
      </c>
      <c r="F49" s="300">
        <f>SUMIFS('RASHODI ZA VIJEĆE'!H18:H570,'RASHODI ZA VIJEĆE'!T18:T570,"056")</f>
        <v>0</v>
      </c>
      <c r="G49" s="300">
        <f>SUMIFS('RASHODI ZA VIJEĆE'!I18:I570,'RASHODI ZA VIJEĆE'!U18:U570,"056")</f>
        <v>0</v>
      </c>
      <c r="H49" s="301">
        <f t="shared" si="1"/>
        <v>0</v>
      </c>
      <c r="I49" s="301">
        <f t="shared" si="2"/>
        <v>0</v>
      </c>
      <c r="J49" s="301">
        <f t="shared" si="3"/>
        <v>0</v>
      </c>
      <c r="K49" s="89"/>
    </row>
    <row r="50" spans="1:11" s="314" customFormat="1" x14ac:dyDescent="0.3">
      <c r="A50" s="341" t="s">
        <v>639</v>
      </c>
      <c r="B50" s="342" t="s">
        <v>640</v>
      </c>
      <c r="C50" s="281">
        <f>SUM(C51:C56)</f>
        <v>197222.53999999998</v>
      </c>
      <c r="D50" s="281">
        <f>SUM(D51:D56)</f>
        <v>425793.39</v>
      </c>
      <c r="E50" s="281">
        <f>SUM(E51:E56)</f>
        <v>493500</v>
      </c>
      <c r="F50" s="281">
        <f>SUM(F51:F56)</f>
        <v>478000</v>
      </c>
      <c r="G50" s="281">
        <f>SUM(G51:G56)</f>
        <v>425793.39</v>
      </c>
      <c r="H50" s="282">
        <f t="shared" si="1"/>
        <v>2.1589489213555413</v>
      </c>
      <c r="I50" s="282">
        <f t="shared" si="2"/>
        <v>1</v>
      </c>
      <c r="J50" s="282">
        <f t="shared" si="3"/>
        <v>0.89078115062761509</v>
      </c>
      <c r="K50" s="322"/>
    </row>
    <row r="51" spans="1:11" x14ac:dyDescent="0.3">
      <c r="A51" s="338" t="s">
        <v>641</v>
      </c>
      <c r="B51" s="340" t="s">
        <v>642</v>
      </c>
      <c r="C51" s="300">
        <f>SUMIFS('RASHODI ZA VIJEĆE'!E18:E570,'RASHODI ZA VIJEĆE'!Q18:Q570,"061")</f>
        <v>0</v>
      </c>
      <c r="D51" s="300">
        <f>SUMIFS('RASHODI ZA VIJEĆE'!F18:F570,'RASHODI ZA VIJEĆE'!R18:R570,"061")</f>
        <v>29393.86</v>
      </c>
      <c r="E51" s="300">
        <f>SUMIFS('RASHODI ZA VIJEĆE'!G18:G570,'RASHODI ZA VIJEĆE'!S18:S570,"061")</f>
        <v>13500</v>
      </c>
      <c r="F51" s="300">
        <f>SUMIFS('RASHODI ZA VIJEĆE'!H18:H570,'RASHODI ZA VIJEĆE'!T18:T570,"061")</f>
        <v>40000</v>
      </c>
      <c r="G51" s="300">
        <f>SUMIFS('RASHODI ZA VIJEĆE'!I18:I570,'RASHODI ZA VIJEĆE'!U18:U570,"061")</f>
        <v>29393.86</v>
      </c>
      <c r="H51" s="301">
        <f t="shared" si="1"/>
        <v>0</v>
      </c>
      <c r="I51" s="301">
        <f t="shared" si="2"/>
        <v>1</v>
      </c>
      <c r="J51" s="301">
        <f t="shared" si="3"/>
        <v>0.73484650000000007</v>
      </c>
      <c r="K51" s="89"/>
    </row>
    <row r="52" spans="1:11" x14ac:dyDescent="0.3">
      <c r="A52" s="338" t="s">
        <v>643</v>
      </c>
      <c r="B52" s="340" t="s">
        <v>644</v>
      </c>
      <c r="C52" s="300">
        <f>SUMIFS('RASHODI ZA VIJEĆE'!E18:E570,'RASHODI ZA VIJEĆE'!Q18:Q570,"062")</f>
        <v>0</v>
      </c>
      <c r="D52" s="300">
        <f>SUMIFS('RASHODI ZA VIJEĆE'!F18:F570,'RASHODI ZA VIJEĆE'!R18:R570,"062")</f>
        <v>0</v>
      </c>
      <c r="E52" s="300">
        <f>SUMIFS('RASHODI ZA VIJEĆE'!G18:G570,'RASHODI ZA VIJEĆE'!S18:S570,"062")</f>
        <v>0</v>
      </c>
      <c r="F52" s="300">
        <f>SUMIFS('RASHODI ZA VIJEĆE'!H18:H570,'RASHODI ZA VIJEĆE'!T18:T570,"062")</f>
        <v>0</v>
      </c>
      <c r="G52" s="300">
        <f>SUMIFS('RASHODI ZA VIJEĆE'!I18:I570,'RASHODI ZA VIJEĆE'!U18:U570,"062")</f>
        <v>0</v>
      </c>
      <c r="H52" s="301">
        <f t="shared" si="1"/>
        <v>0</v>
      </c>
      <c r="I52" s="301">
        <f t="shared" si="2"/>
        <v>0</v>
      </c>
      <c r="J52" s="301">
        <f t="shared" si="3"/>
        <v>0</v>
      </c>
      <c r="K52" s="89"/>
    </row>
    <row r="53" spans="1:11" x14ac:dyDescent="0.3">
      <c r="A53" s="338" t="s">
        <v>645</v>
      </c>
      <c r="B53" s="340" t="s">
        <v>646</v>
      </c>
      <c r="C53" s="300">
        <f>SUMIFS('RASHODI ZA VIJEĆE'!E18:E570,'RASHODI ZA VIJEĆE'!Q18:Q570,"063")</f>
        <v>11779.1</v>
      </c>
      <c r="D53" s="300">
        <f>SUMIFS('RASHODI ZA VIJEĆE'!F18:F570,'RASHODI ZA VIJEĆE'!R18:R570,"063")</f>
        <v>22128.05</v>
      </c>
      <c r="E53" s="300">
        <f>SUMIFS('RASHODI ZA VIJEĆE'!G18:G570,'RASHODI ZA VIJEĆE'!S18:S570,"063")</f>
        <v>20000</v>
      </c>
      <c r="F53" s="300">
        <f>SUMIFS('RASHODI ZA VIJEĆE'!H18:H570,'RASHODI ZA VIJEĆE'!T18:T570,"063")</f>
        <v>24000</v>
      </c>
      <c r="G53" s="300">
        <f>SUMIFS('RASHODI ZA VIJEĆE'!I18:I570,'RASHODI ZA VIJEĆE'!U18:U570,"063")</f>
        <v>22128.05</v>
      </c>
      <c r="H53" s="301">
        <f t="shared" si="1"/>
        <v>1.8785858002733655</v>
      </c>
      <c r="I53" s="301">
        <f t="shared" si="2"/>
        <v>1</v>
      </c>
      <c r="J53" s="301">
        <f t="shared" si="3"/>
        <v>0.92200208333333333</v>
      </c>
      <c r="K53" s="89"/>
    </row>
    <row r="54" spans="1:11" x14ac:dyDescent="0.3">
      <c r="A54" s="338" t="s">
        <v>647</v>
      </c>
      <c r="B54" s="340" t="s">
        <v>648</v>
      </c>
      <c r="C54" s="300">
        <f>SUMIFS('RASHODI ZA VIJEĆE'!E18:E570,'RASHODI ZA VIJEĆE'!Q18:Q570,"064")</f>
        <v>51919.969999999994</v>
      </c>
      <c r="D54" s="300">
        <f>SUMIFS('RASHODI ZA VIJEĆE'!F18:F570,'RASHODI ZA VIJEĆE'!R18:R570,"064")</f>
        <v>126095.16</v>
      </c>
      <c r="E54" s="300">
        <f>SUMIFS('RASHODI ZA VIJEĆE'!G18:G570,'RASHODI ZA VIJEĆE'!S18:S570,"064")</f>
        <v>103500</v>
      </c>
      <c r="F54" s="300">
        <f>SUMIFS('RASHODI ZA VIJEĆE'!H18:H570,'RASHODI ZA VIJEĆE'!T18:T570,"064")</f>
        <v>137500</v>
      </c>
      <c r="G54" s="300">
        <f>SUMIFS('RASHODI ZA VIJEĆE'!I18:I570,'RASHODI ZA VIJEĆE'!U18:U570,"064")</f>
        <v>126095.16</v>
      </c>
      <c r="H54" s="301">
        <f t="shared" si="1"/>
        <v>2.4286447006806826</v>
      </c>
      <c r="I54" s="301">
        <f t="shared" si="2"/>
        <v>1</v>
      </c>
      <c r="J54" s="301">
        <f t="shared" si="3"/>
        <v>0.91705570909090917</v>
      </c>
      <c r="K54" s="89"/>
    </row>
    <row r="55" spans="1:11" x14ac:dyDescent="0.3">
      <c r="A55" s="338" t="s">
        <v>649</v>
      </c>
      <c r="B55" s="340" t="s">
        <v>650</v>
      </c>
      <c r="C55" s="300">
        <f>SUMIFS('RASHODI ZA VIJEĆE'!E18:E570,'RASHODI ZA VIJEĆE'!Q18:Q570,"065")</f>
        <v>0</v>
      </c>
      <c r="D55" s="300">
        <f>SUMIFS('RASHODI ZA VIJEĆE'!F18:F570,'RASHODI ZA VIJEĆE'!R18:R570,"065")</f>
        <v>0</v>
      </c>
      <c r="E55" s="300">
        <f>SUMIFS('RASHODI ZA VIJEĆE'!G18:G570,'RASHODI ZA VIJEĆE'!S18:S570,"065")</f>
        <v>0</v>
      </c>
      <c r="F55" s="300">
        <f>SUMIFS('RASHODI ZA VIJEĆE'!H18:H570,'RASHODI ZA VIJEĆE'!T18:T570,"065")</f>
        <v>0</v>
      </c>
      <c r="G55" s="300">
        <f>SUMIFS('RASHODI ZA VIJEĆE'!I18:I570,'RASHODI ZA VIJEĆE'!U18:U570,"065")</f>
        <v>0</v>
      </c>
      <c r="H55" s="301">
        <f t="shared" si="1"/>
        <v>0</v>
      </c>
      <c r="I55" s="301">
        <f t="shared" si="2"/>
        <v>0</v>
      </c>
      <c r="J55" s="301">
        <f t="shared" si="3"/>
        <v>0</v>
      </c>
      <c r="K55" s="89"/>
    </row>
    <row r="56" spans="1:11" ht="40.5" x14ac:dyDescent="0.3">
      <c r="A56" s="338" t="s">
        <v>651</v>
      </c>
      <c r="B56" s="339" t="s">
        <v>652</v>
      </c>
      <c r="C56" s="300">
        <f>SUMIFS('RASHODI ZA VIJEĆE'!E18:E570,'RASHODI ZA VIJEĆE'!Q18:Q570,"066")</f>
        <v>133523.47</v>
      </c>
      <c r="D56" s="300">
        <f>SUMIFS('RASHODI ZA VIJEĆE'!F18:F570,'RASHODI ZA VIJEĆE'!R18:R570,"066")</f>
        <v>248176.32</v>
      </c>
      <c r="E56" s="300">
        <f>SUMIFS('RASHODI ZA VIJEĆE'!G18:G570,'RASHODI ZA VIJEĆE'!S18:S570,"066")</f>
        <v>356500</v>
      </c>
      <c r="F56" s="300">
        <f>SUMIFS('RASHODI ZA VIJEĆE'!H18:H570,'RASHODI ZA VIJEĆE'!T18:T570,"066")</f>
        <v>276500</v>
      </c>
      <c r="G56" s="300">
        <f>SUMIFS('RASHODI ZA VIJEĆE'!I18:I570,'RASHODI ZA VIJEĆE'!U18:U570,"066")</f>
        <v>248176.32</v>
      </c>
      <c r="H56" s="301">
        <f t="shared" si="1"/>
        <v>1.8586718874217394</v>
      </c>
      <c r="I56" s="301">
        <f t="shared" si="2"/>
        <v>1</v>
      </c>
      <c r="J56" s="301">
        <f t="shared" si="3"/>
        <v>0.89756354430379748</v>
      </c>
      <c r="K56" s="89"/>
    </row>
    <row r="57" spans="1:11" s="314" customFormat="1" x14ac:dyDescent="0.3">
      <c r="A57" s="341" t="s">
        <v>653</v>
      </c>
      <c r="B57" s="342" t="s">
        <v>654</v>
      </c>
      <c r="C57" s="281">
        <f>SUM(C58:C63)</f>
        <v>0</v>
      </c>
      <c r="D57" s="281">
        <f>SUM(D58:D63)</f>
        <v>0</v>
      </c>
      <c r="E57" s="281">
        <f>SUM(E58:E63)</f>
        <v>0</v>
      </c>
      <c r="F57" s="281">
        <f>SUM(F58:F63)</f>
        <v>0</v>
      </c>
      <c r="G57" s="281">
        <f>SUM(G58:G63)</f>
        <v>0</v>
      </c>
      <c r="H57" s="282">
        <f t="shared" si="1"/>
        <v>0</v>
      </c>
      <c r="I57" s="282">
        <f t="shared" si="2"/>
        <v>0</v>
      </c>
      <c r="J57" s="282">
        <f t="shared" si="3"/>
        <v>0</v>
      </c>
      <c r="K57" s="322"/>
    </row>
    <row r="58" spans="1:11" x14ac:dyDescent="0.3">
      <c r="A58" s="338" t="s">
        <v>655</v>
      </c>
      <c r="B58" s="340" t="s">
        <v>656</v>
      </c>
      <c r="C58" s="300">
        <f>SUMIFS('RASHODI ZA VIJEĆE'!E18:E570,'RASHODI ZA VIJEĆE'!Q18:Q570,"071")</f>
        <v>0</v>
      </c>
      <c r="D58" s="300">
        <f>SUMIFS('RASHODI ZA VIJEĆE'!F18:F570,'RASHODI ZA VIJEĆE'!R18:R570,"071")</f>
        <v>0</v>
      </c>
      <c r="E58" s="300">
        <f>SUMIFS('RASHODI ZA VIJEĆE'!G18:G570,'RASHODI ZA VIJEĆE'!S18:S570,"071")</f>
        <v>0</v>
      </c>
      <c r="F58" s="300">
        <f>SUMIFS('RASHODI ZA VIJEĆE'!H18:H570,'RASHODI ZA VIJEĆE'!T18:T570,"071")</f>
        <v>0</v>
      </c>
      <c r="G58" s="300">
        <f>SUMIFS('RASHODI ZA VIJEĆE'!I18:I570,'RASHODI ZA VIJEĆE'!U18:U570,"071")</f>
        <v>0</v>
      </c>
      <c r="H58" s="301">
        <f t="shared" si="1"/>
        <v>0</v>
      </c>
      <c r="I58" s="301">
        <f t="shared" si="2"/>
        <v>0</v>
      </c>
      <c r="J58" s="301">
        <f t="shared" si="3"/>
        <v>0</v>
      </c>
      <c r="K58" s="89"/>
    </row>
    <row r="59" spans="1:11" x14ac:dyDescent="0.3">
      <c r="A59" s="338" t="s">
        <v>657</v>
      </c>
      <c r="B59" s="340" t="s">
        <v>658</v>
      </c>
      <c r="C59" s="300">
        <f>SUMIFS('RASHODI ZA VIJEĆE'!E18:E570,'RASHODI ZA VIJEĆE'!Q18:Q570,"072")</f>
        <v>0</v>
      </c>
      <c r="D59" s="300">
        <f>SUMIFS('RASHODI ZA VIJEĆE'!F18:F570,'RASHODI ZA VIJEĆE'!R18:R570,"072")</f>
        <v>0</v>
      </c>
      <c r="E59" s="300">
        <f>SUMIFS('RASHODI ZA VIJEĆE'!G18:G570,'RASHODI ZA VIJEĆE'!S18:S570,"072")</f>
        <v>0</v>
      </c>
      <c r="F59" s="300">
        <f>SUMIFS('RASHODI ZA VIJEĆE'!H18:H570,'RASHODI ZA VIJEĆE'!T18:T570,"072")</f>
        <v>0</v>
      </c>
      <c r="G59" s="300">
        <f>SUMIFS('RASHODI ZA VIJEĆE'!I18:I570,'RASHODI ZA VIJEĆE'!U18:U570,"072")</f>
        <v>0</v>
      </c>
      <c r="H59" s="301">
        <f t="shared" si="1"/>
        <v>0</v>
      </c>
      <c r="I59" s="301">
        <f t="shared" si="2"/>
        <v>0</v>
      </c>
      <c r="J59" s="301">
        <f t="shared" si="3"/>
        <v>0</v>
      </c>
      <c r="K59" s="89"/>
    </row>
    <row r="60" spans="1:11" x14ac:dyDescent="0.3">
      <c r="A60" s="338" t="s">
        <v>659</v>
      </c>
      <c r="B60" s="340" t="s">
        <v>660</v>
      </c>
      <c r="C60" s="300">
        <f>SUMIFS('RASHODI ZA VIJEĆE'!E18:E570,'RASHODI ZA VIJEĆE'!Q18:Q570,"073")</f>
        <v>0</v>
      </c>
      <c r="D60" s="300">
        <f>SUMIFS('RASHODI ZA VIJEĆE'!F18:F570,'RASHODI ZA VIJEĆE'!R18:R570,"073")</f>
        <v>0</v>
      </c>
      <c r="E60" s="300">
        <f>SUMIFS('RASHODI ZA VIJEĆE'!G18:G570,'RASHODI ZA VIJEĆE'!S18:S570,"073")</f>
        <v>0</v>
      </c>
      <c r="F60" s="300">
        <f>SUMIFS('RASHODI ZA VIJEĆE'!H18:H570,'RASHODI ZA VIJEĆE'!T18:T570,"073")</f>
        <v>0</v>
      </c>
      <c r="G60" s="300">
        <f>SUMIFS('RASHODI ZA VIJEĆE'!I18:I570,'RASHODI ZA VIJEĆE'!U18:U570,"073")</f>
        <v>0</v>
      </c>
      <c r="H60" s="301">
        <f t="shared" si="1"/>
        <v>0</v>
      </c>
      <c r="I60" s="301">
        <f t="shared" si="2"/>
        <v>0</v>
      </c>
      <c r="J60" s="301">
        <f t="shared" si="3"/>
        <v>0</v>
      </c>
      <c r="K60" s="89"/>
    </row>
    <row r="61" spans="1:11" x14ac:dyDescent="0.3">
      <c r="A61" s="338" t="s">
        <v>661</v>
      </c>
      <c r="B61" s="340" t="s">
        <v>662</v>
      </c>
      <c r="C61" s="300">
        <f>SUMIFS('RASHODI ZA VIJEĆE'!E18:E570,'RASHODI ZA VIJEĆE'!Q18:Q570,"074")</f>
        <v>0</v>
      </c>
      <c r="D61" s="300">
        <f>SUMIFS('RASHODI ZA VIJEĆE'!F18:F570,'RASHODI ZA VIJEĆE'!R18:R570,"074")</f>
        <v>0</v>
      </c>
      <c r="E61" s="300">
        <f>SUMIFS('RASHODI ZA VIJEĆE'!G18:G570,'RASHODI ZA VIJEĆE'!S18:S570,"074")</f>
        <v>0</v>
      </c>
      <c r="F61" s="300">
        <f>SUMIFS('RASHODI ZA VIJEĆE'!H18:H570,'RASHODI ZA VIJEĆE'!T18:T570,"074")</f>
        <v>0</v>
      </c>
      <c r="G61" s="300">
        <f>SUMIFS('RASHODI ZA VIJEĆE'!I18:I570,'RASHODI ZA VIJEĆE'!U18:U570,"074")</f>
        <v>0</v>
      </c>
      <c r="H61" s="301">
        <f t="shared" si="1"/>
        <v>0</v>
      </c>
      <c r="I61" s="301">
        <f t="shared" si="2"/>
        <v>0</v>
      </c>
      <c r="J61" s="301">
        <f t="shared" si="3"/>
        <v>0</v>
      </c>
      <c r="K61" s="89"/>
    </row>
    <row r="62" spans="1:11" x14ac:dyDescent="0.3">
      <c r="A62" s="338" t="s">
        <v>663</v>
      </c>
      <c r="B62" s="340" t="s">
        <v>664</v>
      </c>
      <c r="C62" s="300">
        <f>SUMIFS('RASHODI ZA VIJEĆE'!E18:E570,'RASHODI ZA VIJEĆE'!Q18:Q570,"075")</f>
        <v>0</v>
      </c>
      <c r="D62" s="300">
        <f>SUMIFS('RASHODI ZA VIJEĆE'!F18:F570,'RASHODI ZA VIJEĆE'!R18:R570,"075")</f>
        <v>0</v>
      </c>
      <c r="E62" s="300">
        <f>SUMIFS('RASHODI ZA VIJEĆE'!G18:G570,'RASHODI ZA VIJEĆE'!S18:S570,"075")</f>
        <v>0</v>
      </c>
      <c r="F62" s="300">
        <f>SUMIFS('RASHODI ZA VIJEĆE'!H18:H570,'RASHODI ZA VIJEĆE'!T18:T570,"075")</f>
        <v>0</v>
      </c>
      <c r="G62" s="300">
        <f>SUMIFS('RASHODI ZA VIJEĆE'!I18:I570,'RASHODI ZA VIJEĆE'!U18:U570,"075")</f>
        <v>0</v>
      </c>
      <c r="H62" s="301">
        <f t="shared" si="1"/>
        <v>0</v>
      </c>
      <c r="I62" s="301">
        <f t="shared" si="2"/>
        <v>0</v>
      </c>
      <c r="J62" s="301">
        <f t="shared" si="3"/>
        <v>0</v>
      </c>
      <c r="K62" s="89"/>
    </row>
    <row r="63" spans="1:11" x14ac:dyDescent="0.3">
      <c r="A63" s="338" t="s">
        <v>665</v>
      </c>
      <c r="B63" s="340" t="s">
        <v>666</v>
      </c>
      <c r="C63" s="300">
        <f>SUMIFS('RASHODI ZA VIJEĆE'!E18:E570,'RASHODI ZA VIJEĆE'!Q18:Q570,"076")</f>
        <v>0</v>
      </c>
      <c r="D63" s="300">
        <f>SUMIFS('RASHODI ZA VIJEĆE'!F18:F570,'RASHODI ZA VIJEĆE'!R18:R570,"076")</f>
        <v>0</v>
      </c>
      <c r="E63" s="300">
        <f>SUMIFS('RASHODI ZA VIJEĆE'!G18:G570,'RASHODI ZA VIJEĆE'!S18:S570,"076")</f>
        <v>0</v>
      </c>
      <c r="F63" s="300">
        <f>SUMIFS('RASHODI ZA VIJEĆE'!H18:H570,'RASHODI ZA VIJEĆE'!T18:T570,"076")</f>
        <v>0</v>
      </c>
      <c r="G63" s="300">
        <f>SUMIFS('RASHODI ZA VIJEĆE'!I18:I570,'RASHODI ZA VIJEĆE'!U18:U570,"076")</f>
        <v>0</v>
      </c>
      <c r="H63" s="301">
        <f t="shared" si="1"/>
        <v>0</v>
      </c>
      <c r="I63" s="301">
        <f t="shared" si="2"/>
        <v>0</v>
      </c>
      <c r="J63" s="301">
        <f t="shared" si="3"/>
        <v>0</v>
      </c>
      <c r="K63" s="89"/>
    </row>
    <row r="64" spans="1:11" s="314" customFormat="1" x14ac:dyDescent="0.3">
      <c r="A64" s="341" t="s">
        <v>667</v>
      </c>
      <c r="B64" s="342" t="s">
        <v>668</v>
      </c>
      <c r="C64" s="281">
        <f>SUM(C65:C70)</f>
        <v>163131.55000000002</v>
      </c>
      <c r="D64" s="281">
        <f>SUM(D65:D70)</f>
        <v>453687.41</v>
      </c>
      <c r="E64" s="281">
        <f>SUM(E65:E70)</f>
        <v>657000</v>
      </c>
      <c r="F64" s="281">
        <f>SUM(F65:F70)</f>
        <v>404400</v>
      </c>
      <c r="G64" s="281">
        <f>SUM(G65:G70)</f>
        <v>453687.41</v>
      </c>
      <c r="H64" s="282">
        <f t="shared" si="1"/>
        <v>2.7811138311381209</v>
      </c>
      <c r="I64" s="282">
        <f t="shared" si="2"/>
        <v>1</v>
      </c>
      <c r="J64" s="282">
        <f t="shared" si="3"/>
        <v>1.121877868447082</v>
      </c>
      <c r="K64" s="322"/>
    </row>
    <row r="65" spans="1:11" x14ac:dyDescent="0.3">
      <c r="A65" s="338" t="s">
        <v>669</v>
      </c>
      <c r="B65" s="340" t="s">
        <v>670</v>
      </c>
      <c r="C65" s="300">
        <f>SUMIFS('RASHODI ZA VIJEĆE'!E18:E570,'RASHODI ZA VIJEĆE'!Q18:Q570,"081")</f>
        <v>79813.030000000013</v>
      </c>
      <c r="D65" s="300">
        <f>SUMIFS('RASHODI ZA VIJEĆE'!F18:F570,'RASHODI ZA VIJEĆE'!R18:R570,"081")</f>
        <v>145952.24</v>
      </c>
      <c r="E65" s="300">
        <f>SUMIFS('RASHODI ZA VIJEĆE'!G18:G570,'RASHODI ZA VIJEĆE'!S18:S570,"081")</f>
        <v>318500</v>
      </c>
      <c r="F65" s="300">
        <f>SUMIFS('RASHODI ZA VIJEĆE'!H18:H570,'RASHODI ZA VIJEĆE'!T18:T570,"081")</f>
        <v>158500</v>
      </c>
      <c r="G65" s="300">
        <f>SUMIFS('RASHODI ZA VIJEĆE'!I18:I570,'RASHODI ZA VIJEĆE'!U18:U570,"081")</f>
        <v>145952.24</v>
      </c>
      <c r="H65" s="301">
        <f t="shared" si="1"/>
        <v>1.8286768463745828</v>
      </c>
      <c r="I65" s="301">
        <f t="shared" si="2"/>
        <v>1</v>
      </c>
      <c r="J65" s="301">
        <f t="shared" si="3"/>
        <v>0.92083432176656144</v>
      </c>
      <c r="K65" s="89"/>
    </row>
    <row r="66" spans="1:11" x14ac:dyDescent="0.3">
      <c r="A66" s="338" t="s">
        <v>671</v>
      </c>
      <c r="B66" s="340" t="s">
        <v>672</v>
      </c>
      <c r="C66" s="300">
        <f>SUMIFS('RASHODI ZA VIJEĆE'!E18:E570,'RASHODI ZA VIJEĆE'!Q18:Q570,"082")</f>
        <v>65754.73000000001</v>
      </c>
      <c r="D66" s="300">
        <f>SUMIFS('RASHODI ZA VIJEĆE'!F18:F570,'RASHODI ZA VIJEĆE'!R18:R570,"082")</f>
        <v>271699.34999999998</v>
      </c>
      <c r="E66" s="300">
        <f>SUMIFS('RASHODI ZA VIJEĆE'!G18:G570,'RASHODI ZA VIJEĆE'!S18:S570,"082")</f>
        <v>209000</v>
      </c>
      <c r="F66" s="300">
        <f>SUMIFS('RASHODI ZA VIJEĆE'!H18:H570,'RASHODI ZA VIJEĆE'!T18:T570,"082")</f>
        <v>204900</v>
      </c>
      <c r="G66" s="300">
        <f>SUMIFS('RASHODI ZA VIJEĆE'!I18:I570,'RASHODI ZA VIJEĆE'!U18:U570,"082")</f>
        <v>271699.34999999998</v>
      </c>
      <c r="H66" s="301">
        <f t="shared" si="1"/>
        <v>4.1320122521984342</v>
      </c>
      <c r="I66" s="301">
        <f t="shared" si="2"/>
        <v>1</v>
      </c>
      <c r="J66" s="301">
        <f t="shared" si="3"/>
        <v>1.3260095168374817</v>
      </c>
      <c r="K66" s="89"/>
    </row>
    <row r="67" spans="1:11" x14ac:dyDescent="0.3">
      <c r="A67" s="338" t="s">
        <v>673</v>
      </c>
      <c r="B67" s="340" t="s">
        <v>674</v>
      </c>
      <c r="C67" s="300">
        <f>SUMIFS('RASHODI ZA VIJEĆE'!E18:E570,'RASHODI ZA VIJEĆE'!Q18:Q570,"083")</f>
        <v>11938.79</v>
      </c>
      <c r="D67" s="300">
        <f>SUMIFS('RASHODI ZA VIJEĆE'!F18:F570,'RASHODI ZA VIJEĆE'!R18:R570,"083")</f>
        <v>28247.21</v>
      </c>
      <c r="E67" s="300">
        <f>SUMIFS('RASHODI ZA VIJEĆE'!G18:G570,'RASHODI ZA VIJEĆE'!S18:S570,"083")</f>
        <v>24500</v>
      </c>
      <c r="F67" s="300">
        <f>SUMIFS('RASHODI ZA VIJEĆE'!H18:H570,'RASHODI ZA VIJEĆE'!T18:T570,"083")</f>
        <v>33000</v>
      </c>
      <c r="G67" s="300">
        <f>SUMIFS('RASHODI ZA VIJEĆE'!I18:I570,'RASHODI ZA VIJEĆE'!U18:U570,"083")</f>
        <v>28247.21</v>
      </c>
      <c r="H67" s="301">
        <f t="shared" si="1"/>
        <v>2.3660027523727276</v>
      </c>
      <c r="I67" s="301">
        <f t="shared" si="2"/>
        <v>1</v>
      </c>
      <c r="J67" s="301">
        <f t="shared" si="3"/>
        <v>0.85597606060606057</v>
      </c>
      <c r="K67" s="89"/>
    </row>
    <row r="68" spans="1:11" x14ac:dyDescent="0.3">
      <c r="A68" s="338" t="s">
        <v>675</v>
      </c>
      <c r="B68" s="340" t="s">
        <v>676</v>
      </c>
      <c r="C68" s="300">
        <f>SUMIFS('RASHODI ZA VIJEĆE'!E18:E570,'RASHODI ZA VIJEĆE'!Q18:Q570,"084")</f>
        <v>5625</v>
      </c>
      <c r="D68" s="300">
        <f>SUMIFS('RASHODI ZA VIJEĆE'!F18:F570,'RASHODI ZA VIJEĆE'!R18:R570,"084")</f>
        <v>7788.61</v>
      </c>
      <c r="E68" s="300">
        <f>SUMIFS('RASHODI ZA VIJEĆE'!G18:G570,'RASHODI ZA VIJEĆE'!S18:S570,"084")</f>
        <v>5000</v>
      </c>
      <c r="F68" s="300">
        <f>SUMIFS('RASHODI ZA VIJEĆE'!H18:H570,'RASHODI ZA VIJEĆE'!T18:T570,"084")</f>
        <v>8000</v>
      </c>
      <c r="G68" s="300">
        <f>SUMIFS('RASHODI ZA VIJEĆE'!I18:I570,'RASHODI ZA VIJEĆE'!U18:U570,"084")</f>
        <v>7788.61</v>
      </c>
      <c r="H68" s="301">
        <f t="shared" si="1"/>
        <v>1.3846417777777777</v>
      </c>
      <c r="I68" s="301">
        <f t="shared" si="2"/>
        <v>1</v>
      </c>
      <c r="J68" s="301">
        <f t="shared" si="3"/>
        <v>0.97357624999999992</v>
      </c>
      <c r="K68" s="89"/>
    </row>
    <row r="69" spans="1:11" x14ac:dyDescent="0.3">
      <c r="A69" s="338" t="s">
        <v>677</v>
      </c>
      <c r="B69" s="340" t="s">
        <v>678</v>
      </c>
      <c r="C69" s="300">
        <f>SUMIFS('RASHODI ZA VIJEĆE'!E18:E570,'RASHODI ZA VIJEĆE'!Q18:Q570,"085")</f>
        <v>0</v>
      </c>
      <c r="D69" s="300">
        <f>SUMIFS('RASHODI ZA VIJEĆE'!F18:F570,'RASHODI ZA VIJEĆE'!R18:R570,"085")</f>
        <v>0</v>
      </c>
      <c r="E69" s="300">
        <f>SUMIFS('RASHODI ZA VIJEĆE'!G18:G570,'RASHODI ZA VIJEĆE'!S18:S570,"085")</f>
        <v>0</v>
      </c>
      <c r="F69" s="300">
        <f>SUMIFS('RASHODI ZA VIJEĆE'!H18:H570,'RASHODI ZA VIJEĆE'!T18:T570,"085")</f>
        <v>0</v>
      </c>
      <c r="G69" s="300">
        <f>SUMIFS('RASHODI ZA VIJEĆE'!I18:I570,'RASHODI ZA VIJEĆE'!U18:U570,"085")</f>
        <v>0</v>
      </c>
      <c r="H69" s="301">
        <f t="shared" si="1"/>
        <v>0</v>
      </c>
      <c r="I69" s="301">
        <f t="shared" si="2"/>
        <v>0</v>
      </c>
      <c r="J69" s="301">
        <f t="shared" si="3"/>
        <v>0</v>
      </c>
      <c r="K69" s="89"/>
    </row>
    <row r="70" spans="1:11" ht="40.5" x14ac:dyDescent="0.3">
      <c r="A70" s="338" t="s">
        <v>679</v>
      </c>
      <c r="B70" s="339" t="s">
        <v>680</v>
      </c>
      <c r="C70" s="300">
        <f>SUMIFS('RASHODI ZA VIJEĆE'!E18:E570,'RASHODI ZA VIJEĆE'!Q18:Q570,"086")</f>
        <v>0</v>
      </c>
      <c r="D70" s="300">
        <f>SUMIFS('RASHODI ZA VIJEĆE'!F18:F570,'RASHODI ZA VIJEĆE'!R18:R570,"086")</f>
        <v>0</v>
      </c>
      <c r="E70" s="300">
        <f>SUMIFS('RASHODI ZA VIJEĆE'!G18:G570,'RASHODI ZA VIJEĆE'!S18:S570,"086")</f>
        <v>100000</v>
      </c>
      <c r="F70" s="300">
        <f>SUMIFS('RASHODI ZA VIJEĆE'!H18:H570,'RASHODI ZA VIJEĆE'!T18:T570,"086")</f>
        <v>0</v>
      </c>
      <c r="G70" s="300">
        <f>SUMIFS('RASHODI ZA VIJEĆE'!I18:I570,'RASHODI ZA VIJEĆE'!U18:U570,"086")</f>
        <v>0</v>
      </c>
      <c r="H70" s="301">
        <f t="shared" si="1"/>
        <v>0</v>
      </c>
      <c r="I70" s="301">
        <f t="shared" si="2"/>
        <v>0</v>
      </c>
      <c r="J70" s="301">
        <f t="shared" si="3"/>
        <v>0</v>
      </c>
      <c r="K70" s="89"/>
    </row>
    <row r="71" spans="1:11" s="314" customFormat="1" x14ac:dyDescent="0.3">
      <c r="A71" s="341" t="s">
        <v>681</v>
      </c>
      <c r="B71" s="342" t="s">
        <v>682</v>
      </c>
      <c r="C71" s="281">
        <f>SUM(C72:C79)</f>
        <v>194604.25</v>
      </c>
      <c r="D71" s="281">
        <f>SUM(D72:D79)</f>
        <v>414354.35</v>
      </c>
      <c r="E71" s="281">
        <f>SUM(E72:E79)</f>
        <v>1377500</v>
      </c>
      <c r="F71" s="281">
        <f>SUM(F72:F79)</f>
        <v>541200</v>
      </c>
      <c r="G71" s="281">
        <f>SUM(G72:G79)</f>
        <v>414354.35</v>
      </c>
      <c r="H71" s="282">
        <f t="shared" si="1"/>
        <v>2.1292153177538515</v>
      </c>
      <c r="I71" s="282">
        <f t="shared" si="2"/>
        <v>1</v>
      </c>
      <c r="J71" s="282">
        <f t="shared" si="3"/>
        <v>0.76562148928307461</v>
      </c>
      <c r="K71" s="322"/>
    </row>
    <row r="72" spans="1:11" x14ac:dyDescent="0.3">
      <c r="A72" s="338" t="s">
        <v>683</v>
      </c>
      <c r="B72" s="340" t="s">
        <v>684</v>
      </c>
      <c r="C72" s="300">
        <f>SUMIFS('RASHODI ZA VIJEĆE'!E18:E570,'RASHODI ZA VIJEĆE'!Q18:Q570,"091")</f>
        <v>118168.48999999999</v>
      </c>
      <c r="D72" s="300">
        <f>SUMIFS('RASHODI ZA VIJEĆE'!F18:F570,'RASHODI ZA VIJEĆE'!R18:R570,"091")</f>
        <v>286402.75</v>
      </c>
      <c r="E72" s="300">
        <f>SUMIFS('RASHODI ZA VIJEĆE'!G18:G570,'RASHODI ZA VIJEĆE'!S18:S570,"091")</f>
        <v>1244500</v>
      </c>
      <c r="F72" s="300">
        <f>SUMIFS('RASHODI ZA VIJEĆE'!H18:H570,'RASHODI ZA VIJEĆE'!T18:T570,"091")</f>
        <v>396200</v>
      </c>
      <c r="G72" s="300">
        <f>SUMIFS('RASHODI ZA VIJEĆE'!I18:I570,'RASHODI ZA VIJEĆE'!U18:U570,"091")</f>
        <v>286402.75</v>
      </c>
      <c r="H72" s="301">
        <f t="shared" si="1"/>
        <v>2.4236812199258875</v>
      </c>
      <c r="I72" s="301">
        <f t="shared" si="2"/>
        <v>1</v>
      </c>
      <c r="J72" s="301">
        <f t="shared" si="3"/>
        <v>0.72287417970721857</v>
      </c>
      <c r="K72" s="89"/>
    </row>
    <row r="73" spans="1:11" x14ac:dyDescent="0.3">
      <c r="A73" s="338" t="s">
        <v>685</v>
      </c>
      <c r="B73" s="340" t="s">
        <v>686</v>
      </c>
      <c r="C73" s="300">
        <f>SUMIFS('RASHODI ZA VIJEĆE'!E18:E570,'RASHODI ZA VIJEĆE'!Q18:Q570,"092")</f>
        <v>29575.759999999998</v>
      </c>
      <c r="D73" s="300">
        <f>SUMIFS('RASHODI ZA VIJEĆE'!F18:F570,'RASHODI ZA VIJEĆE'!R18:R570,"092")</f>
        <v>48971.6</v>
      </c>
      <c r="E73" s="300">
        <f>SUMIFS('RASHODI ZA VIJEĆE'!G18:G570,'RASHODI ZA VIJEĆE'!S18:S570,"092")</f>
        <v>40000</v>
      </c>
      <c r="F73" s="300">
        <f>SUMIFS('RASHODI ZA VIJEĆE'!H18:H570,'RASHODI ZA VIJEĆE'!T18:T570,"092")</f>
        <v>52000</v>
      </c>
      <c r="G73" s="300">
        <f>SUMIFS('RASHODI ZA VIJEĆE'!I18:I570,'RASHODI ZA VIJEĆE'!U18:U570,"092")</f>
        <v>48971.6</v>
      </c>
      <c r="H73" s="301">
        <f t="shared" si="1"/>
        <v>1.6558019134588595</v>
      </c>
      <c r="I73" s="301">
        <f t="shared" si="2"/>
        <v>1</v>
      </c>
      <c r="J73" s="301">
        <f t="shared" si="3"/>
        <v>0.94176153846153843</v>
      </c>
      <c r="K73" s="89"/>
    </row>
    <row r="74" spans="1:11" x14ac:dyDescent="0.3">
      <c r="A74" s="338" t="s">
        <v>687</v>
      </c>
      <c r="B74" s="340" t="s">
        <v>688</v>
      </c>
      <c r="C74" s="300">
        <f>SUMIFS('RASHODI ZA VIJEĆE'!E18:E570,'RASHODI ZA VIJEĆE'!Q18:Q570,"093")</f>
        <v>0</v>
      </c>
      <c r="D74" s="300">
        <f>SUMIFS('RASHODI ZA VIJEĆE'!F18:F570,'RASHODI ZA VIJEĆE'!R18:R570,"093")</f>
        <v>0</v>
      </c>
      <c r="E74" s="300">
        <f>SUMIFS('RASHODI ZA VIJEĆE'!G18:G570,'RASHODI ZA VIJEĆE'!S18:S570,"093")</f>
        <v>0</v>
      </c>
      <c r="F74" s="300">
        <f>SUMIFS('RASHODI ZA VIJEĆE'!H18:H570,'RASHODI ZA VIJEĆE'!T18:T570,"093")</f>
        <v>0</v>
      </c>
      <c r="G74" s="300">
        <f>SUMIFS('RASHODI ZA VIJEĆE'!I18:I570,'RASHODI ZA VIJEĆE'!U18:U570,"093")</f>
        <v>0</v>
      </c>
      <c r="H74" s="301">
        <f t="shared" si="1"/>
        <v>0</v>
      </c>
      <c r="I74" s="301">
        <f t="shared" si="2"/>
        <v>0</v>
      </c>
      <c r="J74" s="301">
        <f t="shared" ref="J74:J89" si="4">IFERROR(SUM(G74/F74),0)</f>
        <v>0</v>
      </c>
      <c r="K74" s="89"/>
    </row>
    <row r="75" spans="1:11" x14ac:dyDescent="0.3">
      <c r="A75" s="338" t="s">
        <v>689</v>
      </c>
      <c r="B75" s="340" t="s">
        <v>690</v>
      </c>
      <c r="C75" s="300">
        <f>SUMIFS('RASHODI ZA VIJEĆE'!E18:E570,'RASHODI ZA VIJEĆE'!Q18:Q570,"094")</f>
        <v>46860</v>
      </c>
      <c r="D75" s="300">
        <f>SUMIFS('RASHODI ZA VIJEĆE'!F18:F570,'RASHODI ZA VIJEĆE'!R18:R570,"094")</f>
        <v>78980</v>
      </c>
      <c r="E75" s="300">
        <f>SUMIFS('RASHODI ZA VIJEĆE'!G18:G570,'RASHODI ZA VIJEĆE'!S18:S570,"094")</f>
        <v>93000</v>
      </c>
      <c r="F75" s="300">
        <f>SUMIFS('RASHODI ZA VIJEĆE'!H18:H570,'RASHODI ZA VIJEĆE'!T18:T570,"094")</f>
        <v>93000</v>
      </c>
      <c r="G75" s="300">
        <f>SUMIFS('RASHODI ZA VIJEĆE'!I18:I570,'RASHODI ZA VIJEĆE'!U18:U570,"094")</f>
        <v>78980</v>
      </c>
      <c r="H75" s="301">
        <f t="shared" si="1"/>
        <v>1.6854460093896713</v>
      </c>
      <c r="I75" s="301">
        <f t="shared" si="2"/>
        <v>1</v>
      </c>
      <c r="J75" s="301">
        <f t="shared" si="4"/>
        <v>0.84924731182795699</v>
      </c>
      <c r="K75" s="89"/>
    </row>
    <row r="76" spans="1:11" x14ac:dyDescent="0.3">
      <c r="A76" s="338" t="s">
        <v>691</v>
      </c>
      <c r="B76" s="340" t="s">
        <v>692</v>
      </c>
      <c r="C76" s="300">
        <f>SUMIFS('RASHODI ZA VIJEĆE'!E18:E570,'RASHODI ZA VIJEĆE'!Q18:Q570,"095")</f>
        <v>0</v>
      </c>
      <c r="D76" s="300">
        <f>SUMIFS('RASHODI ZA VIJEĆE'!F18:F570,'RASHODI ZA VIJEĆE'!R18:R570,"095")</f>
        <v>0</v>
      </c>
      <c r="E76" s="300">
        <f>SUMIFS('RASHODI ZA VIJEĆE'!G18:G570,'RASHODI ZA VIJEĆE'!S18:S570,"095")</f>
        <v>0</v>
      </c>
      <c r="F76" s="300">
        <f>SUMIFS('RASHODI ZA VIJEĆE'!H18:H570,'RASHODI ZA VIJEĆE'!T18:T570,"095")</f>
        <v>0</v>
      </c>
      <c r="G76" s="300">
        <f>SUMIFS('RASHODI ZA VIJEĆE'!I18:I570,'RASHODI ZA VIJEĆE'!U18:U570,"095")</f>
        <v>0</v>
      </c>
      <c r="H76" s="301">
        <f t="shared" ref="H76:H89" si="5">IFERROR(SUM(G76/C76),0)</f>
        <v>0</v>
      </c>
      <c r="I76" s="301">
        <f t="shared" ref="I76:I89" si="6">IFERROR(SUM(G76/D76),0)</f>
        <v>0</v>
      </c>
      <c r="J76" s="301">
        <f t="shared" si="4"/>
        <v>0</v>
      </c>
      <c r="K76" s="89"/>
    </row>
    <row r="77" spans="1:11" x14ac:dyDescent="0.3">
      <c r="A77" s="338" t="s">
        <v>693</v>
      </c>
      <c r="B77" s="340" t="s">
        <v>694</v>
      </c>
      <c r="C77" s="300">
        <f>SUMIFS('RASHODI ZA VIJEĆE'!E18:E570,'RASHODI ZA VIJEĆE'!Q18:Q570,"096")</f>
        <v>0</v>
      </c>
      <c r="D77" s="300">
        <f>SUMIFS('RASHODI ZA VIJEĆE'!F18:F570,'RASHODI ZA VIJEĆE'!R18:R570,"096")</f>
        <v>0</v>
      </c>
      <c r="E77" s="300">
        <f>SUMIFS('RASHODI ZA VIJEĆE'!G18:G570,'RASHODI ZA VIJEĆE'!S18:S570,"096")</f>
        <v>0</v>
      </c>
      <c r="F77" s="300">
        <f>SUMIFS('RASHODI ZA VIJEĆE'!H18:H570,'RASHODI ZA VIJEĆE'!T18:T570,"096")</f>
        <v>0</v>
      </c>
      <c r="G77" s="300">
        <f>SUMIFS('RASHODI ZA VIJEĆE'!I18:I570,'RASHODI ZA VIJEĆE'!U18:U570,"096")</f>
        <v>0</v>
      </c>
      <c r="H77" s="301">
        <f t="shared" si="5"/>
        <v>0</v>
      </c>
      <c r="I77" s="301">
        <f t="shared" si="6"/>
        <v>0</v>
      </c>
      <c r="J77" s="301">
        <f t="shared" si="4"/>
        <v>0</v>
      </c>
      <c r="K77" s="89"/>
    </row>
    <row r="78" spans="1:11" x14ac:dyDescent="0.3">
      <c r="A78" s="338" t="s">
        <v>695</v>
      </c>
      <c r="B78" s="340" t="s">
        <v>696</v>
      </c>
      <c r="C78" s="300">
        <f>SUMIFS('RASHODI ZA VIJEĆE'!E18:E570,'RASHODI ZA VIJEĆE'!Q18:Q570,"097")</f>
        <v>0</v>
      </c>
      <c r="D78" s="300">
        <f>SUMIFS('RASHODI ZA VIJEĆE'!F18:F570,'RASHODI ZA VIJEĆE'!R18:R570,"097")</f>
        <v>0</v>
      </c>
      <c r="E78" s="300">
        <f>SUMIFS('RASHODI ZA VIJEĆE'!G18:G570,'RASHODI ZA VIJEĆE'!S18:S570,"097")</f>
        <v>0</v>
      </c>
      <c r="F78" s="300">
        <f>SUMIFS('RASHODI ZA VIJEĆE'!H18:H570,'RASHODI ZA VIJEĆE'!T18:T570,"097")</f>
        <v>0</v>
      </c>
      <c r="G78" s="300">
        <f>SUMIFS('RASHODI ZA VIJEĆE'!I18:I570,'RASHODI ZA VIJEĆE'!U18:U570,"097")</f>
        <v>0</v>
      </c>
      <c r="H78" s="301">
        <f t="shared" si="5"/>
        <v>0</v>
      </c>
      <c r="I78" s="301">
        <f t="shared" si="6"/>
        <v>0</v>
      </c>
      <c r="J78" s="301">
        <f t="shared" si="4"/>
        <v>0</v>
      </c>
      <c r="K78" s="89"/>
    </row>
    <row r="79" spans="1:11" x14ac:dyDescent="0.3">
      <c r="A79" s="338" t="s">
        <v>697</v>
      </c>
      <c r="B79" s="340" t="s">
        <v>698</v>
      </c>
      <c r="C79" s="300">
        <f>SUMIFS('RASHODI ZA VIJEĆE'!E18:E570,'RASHODI ZA VIJEĆE'!Q18:Q570,"098")</f>
        <v>0</v>
      </c>
      <c r="D79" s="300">
        <f>SUMIFS('RASHODI ZA VIJEĆE'!F18:F570,'RASHODI ZA VIJEĆE'!R18:R570,"098")</f>
        <v>0</v>
      </c>
      <c r="E79" s="300">
        <f>SUMIFS('RASHODI ZA VIJEĆE'!G18:G570,'RASHODI ZA VIJEĆE'!S18:S570,"098")</f>
        <v>0</v>
      </c>
      <c r="F79" s="300">
        <f>SUMIFS('RASHODI ZA VIJEĆE'!H18:H570,'RASHODI ZA VIJEĆE'!T18:T570,"098")</f>
        <v>0</v>
      </c>
      <c r="G79" s="300">
        <f>SUMIFS('RASHODI ZA VIJEĆE'!I18:I570,'RASHODI ZA VIJEĆE'!U18:U570,"098")</f>
        <v>0</v>
      </c>
      <c r="H79" s="301">
        <f t="shared" si="5"/>
        <v>0</v>
      </c>
      <c r="I79" s="301">
        <f t="shared" si="6"/>
        <v>0</v>
      </c>
      <c r="J79" s="301">
        <f t="shared" si="4"/>
        <v>0</v>
      </c>
      <c r="K79" s="89"/>
    </row>
    <row r="80" spans="1:11" s="314" customFormat="1" x14ac:dyDescent="0.3">
      <c r="A80" s="341" t="s">
        <v>699</v>
      </c>
      <c r="B80" s="342" t="s">
        <v>700</v>
      </c>
      <c r="C80" s="281">
        <f>SUM(C81:C89)</f>
        <v>138067.51999999999</v>
      </c>
      <c r="D80" s="281">
        <f>SUM(D81:D89)</f>
        <v>226395.69</v>
      </c>
      <c r="E80" s="281">
        <f>SUM(E81:E89)</f>
        <v>429500</v>
      </c>
      <c r="F80" s="281">
        <f>SUM(F81:F89)</f>
        <v>255700</v>
      </c>
      <c r="G80" s="281">
        <f>SUM(G81:G89)</f>
        <v>226395.69</v>
      </c>
      <c r="H80" s="282">
        <f t="shared" si="5"/>
        <v>1.639746190849231</v>
      </c>
      <c r="I80" s="282">
        <f t="shared" si="6"/>
        <v>1</v>
      </c>
      <c r="J80" s="282">
        <f t="shared" si="4"/>
        <v>0.88539573719202191</v>
      </c>
      <c r="K80" s="322"/>
    </row>
    <row r="81" spans="1:11" x14ac:dyDescent="0.3">
      <c r="A81" s="338" t="s">
        <v>701</v>
      </c>
      <c r="B81" s="340" t="s">
        <v>702</v>
      </c>
      <c r="C81" s="300">
        <f>SUMIFS('RASHODI ZA VIJEĆE'!E18:E570,'RASHODI ZA VIJEĆE'!Q18:Q570,"101")</f>
        <v>0</v>
      </c>
      <c r="D81" s="300">
        <f>SUMIFS('RASHODI ZA VIJEĆE'!F18:F570,'RASHODI ZA VIJEĆE'!R18:R570,"101")</f>
        <v>0</v>
      </c>
      <c r="E81" s="300">
        <f>SUMIFS('RASHODI ZA VIJEĆE'!G18:G570,'RASHODI ZA VIJEĆE'!S18:S570,"101")</f>
        <v>2000</v>
      </c>
      <c r="F81" s="300">
        <f>SUMIFS('RASHODI ZA VIJEĆE'!H18:H570,'RASHODI ZA VIJEĆE'!T18:T570,"101")</f>
        <v>0</v>
      </c>
      <c r="G81" s="300">
        <f>SUMIFS('RASHODI ZA VIJEĆE'!I18:I570,'RASHODI ZA VIJEĆE'!U18:U570,"101")</f>
        <v>0</v>
      </c>
      <c r="H81" s="301">
        <f t="shared" si="5"/>
        <v>0</v>
      </c>
      <c r="I81" s="301">
        <f t="shared" si="6"/>
        <v>0</v>
      </c>
      <c r="J81" s="301">
        <f t="shared" si="4"/>
        <v>0</v>
      </c>
      <c r="K81" s="89"/>
    </row>
    <row r="82" spans="1:11" x14ac:dyDescent="0.3">
      <c r="A82" s="338" t="s">
        <v>703</v>
      </c>
      <c r="B82" s="340" t="s">
        <v>704</v>
      </c>
      <c r="C82" s="300">
        <f>SUMIFS('RASHODI ZA VIJEĆE'!E18:E570,'RASHODI ZA VIJEĆE'!Q18:Q570,"102")</f>
        <v>99677.37</v>
      </c>
      <c r="D82" s="300">
        <f>SUMIFS('RASHODI ZA VIJEĆE'!F18:F570,'RASHODI ZA VIJEĆE'!R18:R570,"102")</f>
        <v>137269.38</v>
      </c>
      <c r="E82" s="300">
        <f>SUMIFS('RASHODI ZA VIJEĆE'!G18:G570,'RASHODI ZA VIJEĆE'!S18:S570,"102")</f>
        <v>272500</v>
      </c>
      <c r="F82" s="300">
        <f>SUMIFS('RASHODI ZA VIJEĆE'!H18:H570,'RASHODI ZA VIJEĆE'!T18:T570,"102")</f>
        <v>148200</v>
      </c>
      <c r="G82" s="300">
        <f>SUMIFS('RASHODI ZA VIJEĆE'!I18:I570,'RASHODI ZA VIJEĆE'!U18:U570,"102")</f>
        <v>137269.38</v>
      </c>
      <c r="H82" s="301">
        <f t="shared" si="5"/>
        <v>1.3771368566405797</v>
      </c>
      <c r="I82" s="301">
        <f t="shared" si="6"/>
        <v>1</v>
      </c>
      <c r="J82" s="301">
        <f t="shared" si="4"/>
        <v>0.92624412955465585</v>
      </c>
      <c r="K82" s="89"/>
    </row>
    <row r="83" spans="1:11" x14ac:dyDescent="0.3">
      <c r="A83" s="338" t="s">
        <v>705</v>
      </c>
      <c r="B83" s="340" t="s">
        <v>706</v>
      </c>
      <c r="C83" s="300">
        <f>SUMIFS('RASHODI ZA VIJEĆE'!E18:E570,'RASHODI ZA VIJEĆE'!Q18:Q570,"103")</f>
        <v>0</v>
      </c>
      <c r="D83" s="300">
        <f>SUMIFS('RASHODI ZA VIJEĆE'!F18:F570,'RASHODI ZA VIJEĆE'!R18:R570,"103")</f>
        <v>0</v>
      </c>
      <c r="E83" s="300">
        <f>SUMIFS('RASHODI ZA VIJEĆE'!G18:G570,'RASHODI ZA VIJEĆE'!S18:S570,"103")</f>
        <v>0</v>
      </c>
      <c r="F83" s="300">
        <f>SUMIFS('RASHODI ZA VIJEĆE'!H18:H570,'RASHODI ZA VIJEĆE'!T18:T570,"103")</f>
        <v>0</v>
      </c>
      <c r="G83" s="300">
        <f>SUMIFS('RASHODI ZA VIJEĆE'!I18:I570,'RASHODI ZA VIJEĆE'!U18:U570,"103")</f>
        <v>0</v>
      </c>
      <c r="H83" s="301">
        <f t="shared" si="5"/>
        <v>0</v>
      </c>
      <c r="I83" s="301">
        <f t="shared" si="6"/>
        <v>0</v>
      </c>
      <c r="J83" s="301">
        <f t="shared" si="4"/>
        <v>0</v>
      </c>
      <c r="K83" s="89"/>
    </row>
    <row r="84" spans="1:11" x14ac:dyDescent="0.3">
      <c r="A84" s="338" t="s">
        <v>707</v>
      </c>
      <c r="B84" s="340" t="s">
        <v>708</v>
      </c>
      <c r="C84" s="300">
        <f>SUMIFS('RASHODI ZA VIJEĆE'!E18:E570,'RASHODI ZA VIJEĆE'!Q18:Q570,"104")</f>
        <v>18717.84</v>
      </c>
      <c r="D84" s="300">
        <f>SUMIFS('RASHODI ZA VIJEĆE'!F18:F570,'RASHODI ZA VIJEĆE'!R18:R570,"104")</f>
        <v>44590.14</v>
      </c>
      <c r="E84" s="300">
        <f>SUMIFS('RASHODI ZA VIJEĆE'!G18:G570,'RASHODI ZA VIJEĆE'!S18:S570,"104")</f>
        <v>46500</v>
      </c>
      <c r="F84" s="300">
        <f>SUMIFS('RASHODI ZA VIJEĆE'!H18:H570,'RASHODI ZA VIJEĆE'!T18:T570,"104")</f>
        <v>48500</v>
      </c>
      <c r="G84" s="300">
        <f>SUMIFS('RASHODI ZA VIJEĆE'!I18:I570,'RASHODI ZA VIJEĆE'!U18:U570,"104")</f>
        <v>44590.14</v>
      </c>
      <c r="H84" s="301">
        <f t="shared" si="5"/>
        <v>2.3822267953994691</v>
      </c>
      <c r="I84" s="301">
        <f t="shared" si="6"/>
        <v>1</v>
      </c>
      <c r="J84" s="301">
        <f t="shared" si="4"/>
        <v>0.91938432989690722</v>
      </c>
      <c r="K84" s="89"/>
    </row>
    <row r="85" spans="1:11" x14ac:dyDescent="0.3">
      <c r="A85" s="338" t="s">
        <v>709</v>
      </c>
      <c r="B85" s="340" t="s">
        <v>710</v>
      </c>
      <c r="C85" s="300">
        <f>SUMIFS('RASHODI ZA VIJEĆE'!E18:E570,'RASHODI ZA VIJEĆE'!Q18:Q570,"105")</f>
        <v>15577.39</v>
      </c>
      <c r="D85" s="300">
        <f>SUMIFS('RASHODI ZA VIJEĆE'!F18:F570,'RASHODI ZA VIJEĆE'!R18:R570,"105")</f>
        <v>30112.399999999998</v>
      </c>
      <c r="E85" s="300">
        <f>SUMIFS('RASHODI ZA VIJEĆE'!G18:G570,'RASHODI ZA VIJEĆE'!S18:S570,"105")</f>
        <v>81000</v>
      </c>
      <c r="F85" s="300">
        <f>SUMIFS('RASHODI ZA VIJEĆE'!H18:H570,'RASHODI ZA VIJEĆE'!T18:T570,"105")</f>
        <v>44500</v>
      </c>
      <c r="G85" s="300">
        <f>SUMIFS('RASHODI ZA VIJEĆE'!I18:I570,'RASHODI ZA VIJEĆE'!U18:U570,"105")</f>
        <v>30112.399999999998</v>
      </c>
      <c r="H85" s="301">
        <f t="shared" si="5"/>
        <v>1.9330837836120172</v>
      </c>
      <c r="I85" s="301">
        <f t="shared" si="6"/>
        <v>1</v>
      </c>
      <c r="J85" s="301">
        <f t="shared" si="4"/>
        <v>0.67668314606741564</v>
      </c>
      <c r="K85" s="89"/>
    </row>
    <row r="86" spans="1:11" x14ac:dyDescent="0.3">
      <c r="A86" s="338" t="s">
        <v>711</v>
      </c>
      <c r="B86" s="340" t="s">
        <v>712</v>
      </c>
      <c r="C86" s="300">
        <f>SUMIFS('RASHODI ZA VIJEĆE'!E18:E570,'RASHODI ZA VIJEĆE'!Q18:Q570,"106")</f>
        <v>544.91999999999996</v>
      </c>
      <c r="D86" s="300">
        <f>SUMIFS('RASHODI ZA VIJEĆE'!F18:F570,'RASHODI ZA VIJEĆE'!R18:R570,"106")</f>
        <v>7423.77</v>
      </c>
      <c r="E86" s="300">
        <f>SUMIFS('RASHODI ZA VIJEĆE'!G18:G570,'RASHODI ZA VIJEĆE'!S18:S570,"106")</f>
        <v>20500</v>
      </c>
      <c r="F86" s="300">
        <f>SUMIFS('RASHODI ZA VIJEĆE'!H18:H570,'RASHODI ZA VIJEĆE'!T18:T570,"106")</f>
        <v>7500</v>
      </c>
      <c r="G86" s="300">
        <f>SUMIFS('RASHODI ZA VIJEĆE'!I18:I570,'RASHODI ZA VIJEĆE'!U18:U570,"106")</f>
        <v>7423.77</v>
      </c>
      <c r="H86" s="301">
        <f t="shared" si="5"/>
        <v>13.62359612420172</v>
      </c>
      <c r="I86" s="301">
        <f t="shared" si="6"/>
        <v>1</v>
      </c>
      <c r="J86" s="301">
        <f t="shared" si="4"/>
        <v>0.98983600000000005</v>
      </c>
      <c r="K86" s="89"/>
    </row>
    <row r="87" spans="1:11" ht="40.5" x14ac:dyDescent="0.3">
      <c r="A87" s="338" t="s">
        <v>713</v>
      </c>
      <c r="B87" s="339" t="s">
        <v>714</v>
      </c>
      <c r="C87" s="300">
        <f>SUMIFS('RASHODI ZA VIJEĆE'!E18:E570,'RASHODI ZA VIJEĆE'!Q18:Q570,"107")</f>
        <v>3550</v>
      </c>
      <c r="D87" s="300">
        <f>SUMIFS('RASHODI ZA VIJEĆE'!F18:F570,'RASHODI ZA VIJEĆE'!R18:R570,"107")</f>
        <v>7000</v>
      </c>
      <c r="E87" s="300">
        <f>SUMIFS('RASHODI ZA VIJEĆE'!G18:G570,'RASHODI ZA VIJEĆE'!S18:S570,"107")</f>
        <v>7000</v>
      </c>
      <c r="F87" s="300">
        <f>SUMIFS('RASHODI ZA VIJEĆE'!H18:H570,'RASHODI ZA VIJEĆE'!T18:T570,"107")</f>
        <v>7000</v>
      </c>
      <c r="G87" s="300">
        <f>SUMIFS('RASHODI ZA VIJEĆE'!I18:I570,'RASHODI ZA VIJEĆE'!U18:U570,"107")</f>
        <v>7000</v>
      </c>
      <c r="H87" s="301">
        <f t="shared" si="5"/>
        <v>1.971830985915493</v>
      </c>
      <c r="I87" s="301">
        <f t="shared" si="6"/>
        <v>1</v>
      </c>
      <c r="J87" s="301">
        <f t="shared" si="4"/>
        <v>1</v>
      </c>
      <c r="K87" s="89"/>
    </row>
    <row r="88" spans="1:11" x14ac:dyDescent="0.3">
      <c r="A88" s="338" t="s">
        <v>715</v>
      </c>
      <c r="B88" s="340" t="s">
        <v>716</v>
      </c>
      <c r="C88" s="300">
        <f>SUMIFS('RASHODI ZA VIJEĆE'!E18:E570,'RASHODI ZA VIJEĆE'!Q18:Q570,"108")</f>
        <v>0</v>
      </c>
      <c r="D88" s="300">
        <f>SUMIFS('RASHODI ZA VIJEĆE'!F18:F570,'RASHODI ZA VIJEĆE'!R18:R570,"108")</f>
        <v>0</v>
      </c>
      <c r="E88" s="300">
        <f>SUMIFS('RASHODI ZA VIJEĆE'!G18:G570,'RASHODI ZA VIJEĆE'!S18:S570,"108")</f>
        <v>0</v>
      </c>
      <c r="F88" s="300">
        <f>SUMIFS('RASHODI ZA VIJEĆE'!H18:H570,'RASHODI ZA VIJEĆE'!T18:T570,"108")</f>
        <v>0</v>
      </c>
      <c r="G88" s="300">
        <f>SUMIFS('RASHODI ZA VIJEĆE'!I18:I570,'RASHODI ZA VIJEĆE'!U18:U570,"108")</f>
        <v>0</v>
      </c>
      <c r="H88" s="301">
        <f t="shared" si="5"/>
        <v>0</v>
      </c>
      <c r="I88" s="301">
        <f t="shared" si="6"/>
        <v>0</v>
      </c>
      <c r="J88" s="301">
        <f t="shared" si="4"/>
        <v>0</v>
      </c>
      <c r="K88" s="89"/>
    </row>
    <row r="89" spans="1:11" x14ac:dyDescent="0.3">
      <c r="A89" s="338" t="s">
        <v>717</v>
      </c>
      <c r="B89" s="340" t="s">
        <v>718</v>
      </c>
      <c r="C89" s="300">
        <f>SUMIFS('RASHODI ZA VIJEĆE'!E18:E570,'RASHODI ZA VIJEĆE'!Q18:Q570,"109")</f>
        <v>0</v>
      </c>
      <c r="D89" s="300">
        <f>SUMIFS('RASHODI ZA VIJEĆE'!F18:F570,'RASHODI ZA VIJEĆE'!R18:R570,"109")</f>
        <v>0</v>
      </c>
      <c r="E89" s="300">
        <f>SUMIFS('RASHODI ZA VIJEĆE'!G18:G570,'RASHODI ZA VIJEĆE'!S18:S570,"109")</f>
        <v>0</v>
      </c>
      <c r="F89" s="300">
        <f>SUMIFS('RASHODI ZA VIJEĆE'!H18:H570,'RASHODI ZA VIJEĆE'!T18:T570,"109")</f>
        <v>0</v>
      </c>
      <c r="G89" s="300">
        <f>SUMIFS('RASHODI ZA VIJEĆE'!I18:I570,'RASHODI ZA VIJEĆE'!U18:U570,"109")</f>
        <v>0</v>
      </c>
      <c r="H89" s="301">
        <f t="shared" si="5"/>
        <v>0</v>
      </c>
      <c r="I89" s="301">
        <f t="shared" si="6"/>
        <v>0</v>
      </c>
      <c r="J89" s="301">
        <f t="shared" si="4"/>
        <v>0</v>
      </c>
      <c r="K89" s="89"/>
    </row>
    <row r="90" spans="1:11" x14ac:dyDescent="0.3">
      <c r="C90" s="308"/>
      <c r="D90" s="308"/>
      <c r="E90" s="308"/>
      <c r="F90" s="308"/>
      <c r="G90" s="309"/>
      <c r="H90" s="309"/>
      <c r="I90" s="309"/>
    </row>
    <row r="91" spans="1:11" x14ac:dyDescent="0.3">
      <c r="C91" s="308"/>
      <c r="D91" s="308"/>
      <c r="E91" s="308"/>
      <c r="F91" s="308"/>
      <c r="G91" s="309"/>
      <c r="H91" s="309"/>
      <c r="I91" s="309"/>
    </row>
    <row r="92" spans="1:11" x14ac:dyDescent="0.3">
      <c r="C92" s="308"/>
      <c r="D92" s="308"/>
      <c r="E92" s="308"/>
      <c r="F92" s="308"/>
      <c r="G92" s="309"/>
      <c r="H92" s="309"/>
      <c r="I92" s="309"/>
    </row>
    <row r="93" spans="1:11" x14ac:dyDescent="0.3">
      <c r="C93" s="308"/>
      <c r="D93" s="308"/>
      <c r="E93" s="308"/>
      <c r="F93" s="308"/>
      <c r="G93" s="309"/>
      <c r="H93" s="309"/>
      <c r="I93" s="309"/>
    </row>
    <row r="94" spans="1:11" x14ac:dyDescent="0.3">
      <c r="C94" s="308"/>
      <c r="D94" s="308"/>
      <c r="E94" s="308"/>
      <c r="F94" s="308"/>
      <c r="G94" s="309"/>
      <c r="H94" s="309"/>
      <c r="I94" s="309"/>
    </row>
    <row r="95" spans="1:11" x14ac:dyDescent="0.3">
      <c r="C95" s="308"/>
      <c r="D95" s="308"/>
      <c r="E95" s="308"/>
      <c r="F95" s="308"/>
      <c r="G95" s="309"/>
      <c r="H95" s="309"/>
      <c r="I95" s="309"/>
    </row>
    <row r="96" spans="1:11" x14ac:dyDescent="0.3">
      <c r="C96" s="308"/>
      <c r="D96" s="308"/>
      <c r="E96" s="308"/>
      <c r="F96" s="308"/>
      <c r="G96" s="309"/>
      <c r="H96" s="309"/>
      <c r="I96" s="309"/>
    </row>
    <row r="97" spans="3:9" x14ac:dyDescent="0.3">
      <c r="C97" s="308"/>
      <c r="D97" s="308"/>
      <c r="E97" s="308"/>
      <c r="F97" s="308"/>
      <c r="G97" s="309"/>
      <c r="H97" s="309"/>
      <c r="I97" s="309"/>
    </row>
    <row r="98" spans="3:9" x14ac:dyDescent="0.3">
      <c r="C98" s="308"/>
      <c r="D98" s="308"/>
      <c r="E98" s="308"/>
      <c r="F98" s="308"/>
      <c r="G98" s="309"/>
      <c r="H98" s="309"/>
      <c r="I98" s="309"/>
    </row>
    <row r="99" spans="3:9" x14ac:dyDescent="0.3">
      <c r="C99" s="308"/>
      <c r="D99" s="308"/>
      <c r="E99" s="308"/>
      <c r="F99" s="308"/>
      <c r="G99" s="309"/>
      <c r="H99" s="309"/>
      <c r="I99" s="309"/>
    </row>
    <row r="100" spans="3:9" x14ac:dyDescent="0.3">
      <c r="C100" s="308"/>
      <c r="D100" s="308"/>
      <c r="E100" s="308"/>
      <c r="F100" s="308"/>
      <c r="G100" s="309"/>
      <c r="H100" s="309"/>
      <c r="I100" s="309"/>
    </row>
    <row r="101" spans="3:9" x14ac:dyDescent="0.3">
      <c r="C101" s="308"/>
      <c r="D101" s="308"/>
      <c r="E101" s="308"/>
      <c r="F101" s="308"/>
      <c r="G101" s="309"/>
      <c r="H101" s="309"/>
      <c r="I101" s="309"/>
    </row>
    <row r="102" spans="3:9" x14ac:dyDescent="0.3">
      <c r="C102" s="308"/>
      <c r="D102" s="308"/>
      <c r="E102" s="308"/>
      <c r="F102" s="308"/>
      <c r="G102" s="309"/>
      <c r="H102" s="309"/>
      <c r="I102" s="309"/>
    </row>
    <row r="103" spans="3:9" x14ac:dyDescent="0.3">
      <c r="C103" s="308"/>
      <c r="D103" s="308"/>
      <c r="E103" s="308"/>
      <c r="F103" s="308"/>
      <c r="G103" s="309"/>
      <c r="H103" s="309"/>
      <c r="I103" s="309"/>
    </row>
    <row r="104" spans="3:9" x14ac:dyDescent="0.3">
      <c r="C104" s="308"/>
      <c r="D104" s="308"/>
      <c r="E104" s="308"/>
      <c r="F104" s="308"/>
      <c r="G104" s="309"/>
      <c r="H104" s="309"/>
      <c r="I104" s="309"/>
    </row>
    <row r="105" spans="3:9" x14ac:dyDescent="0.3">
      <c r="C105" s="308"/>
      <c r="D105" s="308"/>
      <c r="E105" s="308"/>
      <c r="F105" s="308"/>
      <c r="G105" s="309"/>
      <c r="H105" s="309"/>
      <c r="I105" s="309"/>
    </row>
    <row r="106" spans="3:9" x14ac:dyDescent="0.3">
      <c r="C106" s="308"/>
      <c r="D106" s="308"/>
      <c r="E106" s="308"/>
      <c r="F106" s="308"/>
      <c r="G106" s="309"/>
      <c r="H106" s="309"/>
      <c r="I106" s="309"/>
    </row>
    <row r="107" spans="3:9" x14ac:dyDescent="0.3">
      <c r="C107" s="308"/>
      <c r="D107" s="308"/>
      <c r="E107" s="308"/>
      <c r="F107" s="308"/>
      <c r="G107" s="309"/>
      <c r="H107" s="309"/>
      <c r="I107" s="309"/>
    </row>
    <row r="108" spans="3:9" x14ac:dyDescent="0.3">
      <c r="C108" s="308"/>
      <c r="D108" s="308"/>
      <c r="E108" s="308"/>
      <c r="F108" s="308"/>
      <c r="G108" s="309"/>
      <c r="H108" s="309"/>
      <c r="I108" s="309"/>
    </row>
    <row r="109" spans="3:9" x14ac:dyDescent="0.3">
      <c r="C109" s="308"/>
      <c r="D109" s="308"/>
      <c r="E109" s="308"/>
      <c r="F109" s="308"/>
      <c r="G109" s="309"/>
      <c r="H109" s="309"/>
      <c r="I109" s="309"/>
    </row>
    <row r="110" spans="3:9" x14ac:dyDescent="0.3">
      <c r="C110" s="308"/>
      <c r="D110" s="308"/>
      <c r="E110" s="308"/>
      <c r="F110" s="308"/>
      <c r="G110" s="309"/>
      <c r="H110" s="309"/>
      <c r="I110" s="309"/>
    </row>
    <row r="111" spans="3:9" x14ac:dyDescent="0.3">
      <c r="C111" s="308"/>
      <c r="D111" s="308"/>
      <c r="E111" s="308"/>
      <c r="F111" s="308"/>
      <c r="G111" s="309"/>
      <c r="H111" s="309"/>
      <c r="I111" s="309"/>
    </row>
    <row r="112" spans="3:9" x14ac:dyDescent="0.3">
      <c r="C112" s="308"/>
      <c r="D112" s="308"/>
      <c r="E112" s="308"/>
      <c r="F112" s="308"/>
      <c r="G112" s="309"/>
      <c r="H112" s="309"/>
      <c r="I112" s="309"/>
    </row>
    <row r="113" spans="3:9" x14ac:dyDescent="0.3">
      <c r="C113" s="308"/>
      <c r="D113" s="308"/>
      <c r="E113" s="308"/>
      <c r="F113" s="308"/>
      <c r="G113" s="309"/>
      <c r="H113" s="309"/>
      <c r="I113" s="309"/>
    </row>
    <row r="114" spans="3:9" x14ac:dyDescent="0.3">
      <c r="C114" s="308"/>
      <c r="D114" s="308"/>
      <c r="E114" s="308"/>
      <c r="F114" s="308"/>
      <c r="G114" s="309"/>
      <c r="H114" s="309"/>
      <c r="I114" s="309"/>
    </row>
    <row r="115" spans="3:9" x14ac:dyDescent="0.3">
      <c r="C115" s="308"/>
      <c r="D115" s="308"/>
      <c r="E115" s="308"/>
      <c r="F115" s="308"/>
      <c r="G115" s="309"/>
      <c r="H115" s="309"/>
      <c r="I115" s="309"/>
    </row>
    <row r="116" spans="3:9" x14ac:dyDescent="0.3">
      <c r="C116" s="308"/>
      <c r="D116" s="308"/>
      <c r="E116" s="308"/>
      <c r="F116" s="308"/>
      <c r="G116" s="309"/>
      <c r="H116" s="309"/>
      <c r="I116" s="309"/>
    </row>
    <row r="117" spans="3:9" x14ac:dyDescent="0.3">
      <c r="C117" s="308"/>
      <c r="D117" s="308"/>
      <c r="E117" s="308"/>
      <c r="F117" s="308"/>
      <c r="G117" s="309"/>
      <c r="H117" s="309"/>
      <c r="I117" s="309"/>
    </row>
    <row r="118" spans="3:9" x14ac:dyDescent="0.3">
      <c r="C118" s="308"/>
      <c r="D118" s="308"/>
      <c r="E118" s="308"/>
      <c r="F118" s="308"/>
      <c r="G118" s="309"/>
      <c r="H118" s="309"/>
      <c r="I118" s="309"/>
    </row>
    <row r="119" spans="3:9" x14ac:dyDescent="0.3">
      <c r="C119" s="308"/>
      <c r="D119" s="308"/>
      <c r="E119" s="308"/>
      <c r="F119" s="308"/>
      <c r="G119" s="309"/>
      <c r="H119" s="309"/>
      <c r="I119" s="309"/>
    </row>
    <row r="120" spans="3:9" x14ac:dyDescent="0.3">
      <c r="C120" s="308"/>
      <c r="D120" s="308"/>
      <c r="E120" s="308"/>
      <c r="F120" s="308"/>
      <c r="G120" s="309"/>
      <c r="H120" s="309"/>
      <c r="I120" s="309"/>
    </row>
    <row r="121" spans="3:9" x14ac:dyDescent="0.3">
      <c r="C121" s="308"/>
      <c r="D121" s="308"/>
      <c r="E121" s="308"/>
      <c r="F121" s="308"/>
      <c r="G121" s="309"/>
      <c r="H121" s="309"/>
      <c r="I121" s="309"/>
    </row>
    <row r="122" spans="3:9" x14ac:dyDescent="0.3">
      <c r="C122" s="308"/>
      <c r="D122" s="308"/>
      <c r="E122" s="308"/>
      <c r="F122" s="308"/>
      <c r="G122" s="309"/>
      <c r="H122" s="309"/>
      <c r="I122" s="309"/>
    </row>
    <row r="123" spans="3:9" x14ac:dyDescent="0.3">
      <c r="C123" s="308"/>
      <c r="D123" s="308"/>
      <c r="E123" s="308"/>
      <c r="F123" s="308"/>
      <c r="G123" s="309"/>
      <c r="H123" s="309"/>
      <c r="I123" s="309"/>
    </row>
    <row r="124" spans="3:9" x14ac:dyDescent="0.3">
      <c r="C124" s="308"/>
      <c r="D124" s="308"/>
      <c r="E124" s="308"/>
      <c r="F124" s="308"/>
      <c r="G124" s="309"/>
      <c r="H124" s="309"/>
      <c r="I124" s="309"/>
    </row>
    <row r="125" spans="3:9" x14ac:dyDescent="0.3">
      <c r="C125" s="308"/>
      <c r="D125" s="308"/>
      <c r="E125" s="308"/>
      <c r="F125" s="308"/>
      <c r="G125" s="309"/>
      <c r="H125" s="309"/>
      <c r="I125" s="309"/>
    </row>
    <row r="126" spans="3:9" x14ac:dyDescent="0.3">
      <c r="C126" s="308"/>
      <c r="D126" s="308"/>
      <c r="E126" s="308"/>
      <c r="F126" s="308"/>
      <c r="G126" s="309"/>
      <c r="H126" s="309"/>
      <c r="I126" s="309"/>
    </row>
    <row r="127" spans="3:9" x14ac:dyDescent="0.3">
      <c r="C127" s="308"/>
      <c r="D127" s="308"/>
      <c r="E127" s="308"/>
      <c r="F127" s="308"/>
      <c r="G127" s="309"/>
      <c r="H127" s="309"/>
      <c r="I127" s="309"/>
    </row>
    <row r="128" spans="3:9" x14ac:dyDescent="0.3">
      <c r="C128" s="308"/>
      <c r="D128" s="308"/>
      <c r="E128" s="308"/>
      <c r="F128" s="308"/>
      <c r="G128" s="309"/>
      <c r="H128" s="309"/>
      <c r="I128" s="309"/>
    </row>
    <row r="129" spans="3:9" x14ac:dyDescent="0.3">
      <c r="C129" s="308"/>
      <c r="D129" s="308"/>
      <c r="E129" s="308"/>
      <c r="F129" s="308"/>
      <c r="G129" s="309"/>
      <c r="H129" s="309"/>
      <c r="I129" s="309"/>
    </row>
    <row r="130" spans="3:9" x14ac:dyDescent="0.3">
      <c r="C130" s="308"/>
      <c r="D130" s="308"/>
      <c r="E130" s="308"/>
      <c r="F130" s="308"/>
      <c r="G130" s="309"/>
      <c r="H130" s="309"/>
      <c r="I130" s="309"/>
    </row>
    <row r="131" spans="3:9" x14ac:dyDescent="0.3">
      <c r="C131" s="308"/>
      <c r="D131" s="308"/>
      <c r="E131" s="308"/>
      <c r="F131" s="308"/>
      <c r="G131" s="309"/>
      <c r="H131" s="309"/>
      <c r="I131" s="309"/>
    </row>
    <row r="132" spans="3:9" x14ac:dyDescent="0.3">
      <c r="C132" s="308"/>
      <c r="D132" s="308"/>
      <c r="E132" s="308"/>
      <c r="F132" s="308"/>
      <c r="G132" s="309"/>
      <c r="H132" s="309"/>
      <c r="I132" s="309"/>
    </row>
    <row r="133" spans="3:9" x14ac:dyDescent="0.3">
      <c r="C133" s="308"/>
      <c r="D133" s="308"/>
      <c r="E133" s="308"/>
      <c r="F133" s="308"/>
      <c r="G133" s="309"/>
      <c r="H133" s="309"/>
      <c r="I133" s="309"/>
    </row>
    <row r="134" spans="3:9" x14ac:dyDescent="0.3">
      <c r="C134" s="308"/>
      <c r="D134" s="308"/>
      <c r="E134" s="308"/>
      <c r="F134" s="308"/>
      <c r="G134" s="309"/>
      <c r="H134" s="309"/>
      <c r="I134" s="309"/>
    </row>
    <row r="135" spans="3:9" x14ac:dyDescent="0.3">
      <c r="C135" s="308"/>
      <c r="D135" s="308"/>
      <c r="E135" s="308"/>
      <c r="F135" s="308"/>
      <c r="G135" s="309"/>
      <c r="H135" s="309"/>
      <c r="I135" s="309"/>
    </row>
    <row r="136" spans="3:9" x14ac:dyDescent="0.3">
      <c r="C136" s="308"/>
      <c r="D136" s="308"/>
      <c r="E136" s="308"/>
      <c r="F136" s="308"/>
      <c r="G136" s="309"/>
      <c r="H136" s="309"/>
      <c r="I136" s="309"/>
    </row>
    <row r="137" spans="3:9" x14ac:dyDescent="0.3">
      <c r="C137" s="308"/>
      <c r="D137" s="308"/>
      <c r="E137" s="308"/>
      <c r="F137" s="308"/>
      <c r="G137" s="309"/>
      <c r="H137" s="309"/>
      <c r="I137" s="309"/>
    </row>
    <row r="138" spans="3:9" x14ac:dyDescent="0.3">
      <c r="C138" s="308"/>
      <c r="D138" s="308"/>
      <c r="E138" s="308"/>
      <c r="F138" s="308"/>
      <c r="G138" s="309"/>
      <c r="H138" s="309"/>
      <c r="I138" s="309"/>
    </row>
    <row r="139" spans="3:9" x14ac:dyDescent="0.3">
      <c r="C139" s="308"/>
      <c r="D139" s="308"/>
      <c r="E139" s="308"/>
      <c r="F139" s="308"/>
      <c r="G139" s="309"/>
      <c r="H139" s="309"/>
      <c r="I139" s="309"/>
    </row>
    <row r="140" spans="3:9" x14ac:dyDescent="0.3">
      <c r="C140" s="308"/>
      <c r="D140" s="308"/>
      <c r="E140" s="308"/>
      <c r="F140" s="308"/>
      <c r="G140" s="309"/>
      <c r="H140" s="309"/>
      <c r="I140" s="309"/>
    </row>
    <row r="141" spans="3:9" x14ac:dyDescent="0.3">
      <c r="C141" s="308"/>
      <c r="D141" s="308"/>
      <c r="E141" s="308"/>
      <c r="F141" s="308"/>
      <c r="G141" s="309"/>
      <c r="H141" s="309"/>
      <c r="I141" s="309"/>
    </row>
    <row r="142" spans="3:9" x14ac:dyDescent="0.3">
      <c r="C142" s="308"/>
      <c r="D142" s="308"/>
      <c r="E142" s="308"/>
      <c r="F142" s="308"/>
      <c r="G142" s="309"/>
      <c r="H142" s="309"/>
      <c r="I142" s="309"/>
    </row>
    <row r="143" spans="3:9" x14ac:dyDescent="0.3">
      <c r="C143" s="308"/>
      <c r="D143" s="308"/>
      <c r="E143" s="308"/>
      <c r="F143" s="308"/>
      <c r="G143" s="309"/>
      <c r="H143" s="309"/>
      <c r="I143" s="309"/>
    </row>
    <row r="144" spans="3:9" x14ac:dyDescent="0.3">
      <c r="C144" s="308"/>
      <c r="D144" s="308"/>
      <c r="E144" s="308"/>
      <c r="F144" s="308"/>
      <c r="G144" s="309"/>
      <c r="H144" s="309"/>
      <c r="I144" s="309"/>
    </row>
    <row r="145" spans="3:9" x14ac:dyDescent="0.3">
      <c r="C145" s="308"/>
      <c r="D145" s="308"/>
      <c r="E145" s="308"/>
      <c r="F145" s="308"/>
      <c r="G145" s="309"/>
      <c r="H145" s="309"/>
      <c r="I145" s="309"/>
    </row>
    <row r="146" spans="3:9" x14ac:dyDescent="0.3">
      <c r="C146" s="308"/>
      <c r="D146" s="308"/>
      <c r="E146" s="308"/>
      <c r="F146" s="308"/>
      <c r="G146" s="309"/>
      <c r="H146" s="309"/>
      <c r="I146" s="309"/>
    </row>
    <row r="147" spans="3:9" x14ac:dyDescent="0.3">
      <c r="C147" s="308"/>
      <c r="D147" s="308"/>
      <c r="E147" s="308"/>
      <c r="F147" s="308"/>
      <c r="G147" s="309"/>
      <c r="H147" s="309"/>
      <c r="I147" s="309"/>
    </row>
    <row r="148" spans="3:9" x14ac:dyDescent="0.3">
      <c r="C148" s="308"/>
      <c r="D148" s="308"/>
      <c r="E148" s="308"/>
      <c r="F148" s="308"/>
      <c r="G148" s="309"/>
      <c r="H148" s="309"/>
      <c r="I148" s="309"/>
    </row>
    <row r="149" spans="3:9" x14ac:dyDescent="0.3">
      <c r="C149" s="308"/>
      <c r="D149" s="308"/>
      <c r="E149" s="308"/>
      <c r="F149" s="308"/>
      <c r="G149" s="309"/>
      <c r="H149" s="309"/>
      <c r="I149" s="309"/>
    </row>
    <row r="150" spans="3:9" x14ac:dyDescent="0.3">
      <c r="C150" s="308"/>
      <c r="D150" s="308"/>
      <c r="E150" s="308"/>
      <c r="F150" s="308"/>
      <c r="G150" s="309"/>
      <c r="H150" s="309"/>
      <c r="I150" s="309"/>
    </row>
    <row r="151" spans="3:9" x14ac:dyDescent="0.3">
      <c r="C151" s="308"/>
      <c r="D151" s="308"/>
      <c r="E151" s="308"/>
      <c r="F151" s="308"/>
      <c r="G151" s="309"/>
      <c r="H151" s="309"/>
      <c r="I151" s="309"/>
    </row>
    <row r="152" spans="3:9" x14ac:dyDescent="0.3">
      <c r="C152" s="308"/>
      <c r="D152" s="308"/>
      <c r="E152" s="308"/>
      <c r="F152" s="308"/>
      <c r="G152" s="309"/>
      <c r="H152" s="309"/>
      <c r="I152" s="309"/>
    </row>
    <row r="153" spans="3:9" x14ac:dyDescent="0.3">
      <c r="C153" s="308"/>
      <c r="D153" s="308"/>
      <c r="E153" s="308"/>
      <c r="F153" s="308"/>
      <c r="G153" s="309"/>
      <c r="H153" s="309"/>
      <c r="I153" s="309"/>
    </row>
    <row r="154" spans="3:9" x14ac:dyDescent="0.3">
      <c r="C154" s="308"/>
      <c r="D154" s="308"/>
      <c r="E154" s="308"/>
      <c r="F154" s="308"/>
      <c r="G154" s="309"/>
      <c r="H154" s="309"/>
      <c r="I154" s="309"/>
    </row>
    <row r="155" spans="3:9" x14ac:dyDescent="0.3">
      <c r="C155" s="308"/>
      <c r="D155" s="308"/>
      <c r="E155" s="308"/>
      <c r="F155" s="308"/>
      <c r="G155" s="309"/>
      <c r="H155" s="309"/>
      <c r="I155" s="309"/>
    </row>
    <row r="156" spans="3:9" x14ac:dyDescent="0.3">
      <c r="C156" s="308"/>
      <c r="D156" s="308"/>
      <c r="E156" s="308"/>
      <c r="F156" s="308"/>
      <c r="G156" s="309"/>
      <c r="H156" s="309"/>
      <c r="I156" s="309"/>
    </row>
    <row r="157" spans="3:9" x14ac:dyDescent="0.3">
      <c r="C157" s="308"/>
      <c r="D157" s="308"/>
      <c r="E157" s="308"/>
      <c r="F157" s="308"/>
      <c r="G157" s="309"/>
      <c r="H157" s="309"/>
      <c r="I157" s="309"/>
    </row>
    <row r="158" spans="3:9" x14ac:dyDescent="0.3">
      <c r="C158" s="308"/>
      <c r="D158" s="308"/>
      <c r="E158" s="308"/>
      <c r="F158" s="308"/>
      <c r="G158" s="309"/>
      <c r="H158" s="309"/>
      <c r="I158" s="309"/>
    </row>
    <row r="159" spans="3:9" x14ac:dyDescent="0.3">
      <c r="C159" s="308"/>
      <c r="D159" s="308"/>
      <c r="E159" s="308"/>
      <c r="F159" s="308"/>
      <c r="G159" s="309"/>
      <c r="H159" s="309"/>
      <c r="I159" s="309"/>
    </row>
    <row r="160" spans="3:9" x14ac:dyDescent="0.3">
      <c r="C160" s="308"/>
      <c r="D160" s="308"/>
      <c r="E160" s="308"/>
      <c r="F160" s="308"/>
      <c r="G160" s="309"/>
      <c r="H160" s="309"/>
      <c r="I160" s="309"/>
    </row>
    <row r="161" spans="3:9" x14ac:dyDescent="0.3">
      <c r="C161" s="308"/>
      <c r="D161" s="308"/>
      <c r="E161" s="308"/>
      <c r="F161" s="308"/>
      <c r="G161" s="309"/>
      <c r="H161" s="309"/>
      <c r="I161" s="309"/>
    </row>
    <row r="162" spans="3:9" x14ac:dyDescent="0.3">
      <c r="C162" s="308"/>
      <c r="D162" s="308"/>
      <c r="E162" s="308"/>
      <c r="F162" s="308"/>
      <c r="G162" s="309"/>
      <c r="H162" s="309"/>
      <c r="I162" s="309"/>
    </row>
    <row r="163" spans="3:9" x14ac:dyDescent="0.3">
      <c r="C163" s="308"/>
      <c r="D163" s="308"/>
      <c r="E163" s="308"/>
      <c r="F163" s="308"/>
      <c r="G163" s="309"/>
      <c r="H163" s="309"/>
      <c r="I163" s="309"/>
    </row>
    <row r="164" spans="3:9" x14ac:dyDescent="0.3">
      <c r="C164" s="308"/>
      <c r="D164" s="308"/>
      <c r="E164" s="308"/>
      <c r="F164" s="308"/>
      <c r="G164" s="309"/>
      <c r="H164" s="309"/>
      <c r="I164" s="309"/>
    </row>
    <row r="165" spans="3:9" x14ac:dyDescent="0.3">
      <c r="C165" s="308"/>
      <c r="D165" s="308"/>
      <c r="E165" s="308"/>
      <c r="F165" s="308"/>
      <c r="G165" s="309"/>
      <c r="H165" s="309"/>
      <c r="I165" s="309"/>
    </row>
    <row r="166" spans="3:9" x14ac:dyDescent="0.3">
      <c r="C166" s="308"/>
      <c r="D166" s="308"/>
      <c r="E166" s="308"/>
      <c r="F166" s="308"/>
      <c r="G166" s="309"/>
      <c r="H166" s="309"/>
      <c r="I166" s="309"/>
    </row>
    <row r="167" spans="3:9" x14ac:dyDescent="0.3">
      <c r="C167" s="308"/>
      <c r="D167" s="308"/>
      <c r="E167" s="308"/>
      <c r="F167" s="308"/>
      <c r="G167" s="309"/>
      <c r="H167" s="309"/>
      <c r="I167" s="309"/>
    </row>
    <row r="168" spans="3:9" x14ac:dyDescent="0.3">
      <c r="C168" s="308"/>
      <c r="D168" s="308"/>
      <c r="E168" s="308"/>
      <c r="F168" s="308"/>
      <c r="G168" s="309"/>
      <c r="H168" s="309"/>
      <c r="I168" s="309"/>
    </row>
    <row r="169" spans="3:9" x14ac:dyDescent="0.3">
      <c r="C169" s="308"/>
      <c r="D169" s="308"/>
      <c r="E169" s="308"/>
      <c r="F169" s="308"/>
      <c r="G169" s="309"/>
      <c r="H169" s="309"/>
      <c r="I169" s="309"/>
    </row>
    <row r="170" spans="3:9" x14ac:dyDescent="0.3">
      <c r="C170" s="308"/>
      <c r="D170" s="308"/>
      <c r="E170" s="308"/>
      <c r="F170" s="308"/>
      <c r="G170" s="309"/>
      <c r="H170" s="309"/>
      <c r="I170" s="309"/>
    </row>
    <row r="171" spans="3:9" x14ac:dyDescent="0.3">
      <c r="C171" s="308"/>
      <c r="D171" s="308"/>
      <c r="E171" s="308"/>
      <c r="F171" s="308"/>
      <c r="G171" s="309"/>
      <c r="H171" s="309"/>
      <c r="I171" s="309"/>
    </row>
    <row r="172" spans="3:9" x14ac:dyDescent="0.3">
      <c r="C172" s="308"/>
      <c r="D172" s="308"/>
      <c r="E172" s="308"/>
      <c r="F172" s="308"/>
      <c r="G172" s="309"/>
      <c r="H172" s="309"/>
      <c r="I172" s="309"/>
    </row>
    <row r="173" spans="3:9" x14ac:dyDescent="0.3">
      <c r="C173" s="308"/>
      <c r="D173" s="308"/>
      <c r="E173" s="308"/>
      <c r="F173" s="308"/>
      <c r="G173" s="309"/>
      <c r="H173" s="309"/>
      <c r="I173" s="309"/>
    </row>
    <row r="174" spans="3:9" x14ac:dyDescent="0.3">
      <c r="C174" s="308"/>
      <c r="D174" s="308"/>
      <c r="E174" s="308"/>
      <c r="F174" s="308"/>
      <c r="G174" s="309"/>
      <c r="H174" s="309"/>
      <c r="I174" s="309"/>
    </row>
    <row r="175" spans="3:9" x14ac:dyDescent="0.3">
      <c r="C175" s="308"/>
      <c r="D175" s="308"/>
      <c r="E175" s="308"/>
      <c r="F175" s="308"/>
      <c r="G175" s="309"/>
      <c r="H175" s="309"/>
      <c r="I175" s="309"/>
    </row>
    <row r="176" spans="3:9" x14ac:dyDescent="0.3">
      <c r="C176" s="308"/>
      <c r="D176" s="308"/>
      <c r="E176" s="308"/>
      <c r="F176" s="308"/>
      <c r="G176" s="309"/>
      <c r="H176" s="309"/>
      <c r="I176" s="309"/>
    </row>
    <row r="177" spans="3:9" x14ac:dyDescent="0.3">
      <c r="C177" s="308"/>
      <c r="D177" s="308"/>
      <c r="E177" s="308"/>
      <c r="F177" s="308"/>
      <c r="G177" s="309"/>
      <c r="H177" s="309"/>
      <c r="I177" s="309"/>
    </row>
    <row r="178" spans="3:9" x14ac:dyDescent="0.3">
      <c r="C178" s="308"/>
      <c r="D178" s="308"/>
      <c r="E178" s="308"/>
      <c r="F178" s="308"/>
      <c r="G178" s="309"/>
      <c r="H178" s="309"/>
      <c r="I178" s="309"/>
    </row>
    <row r="179" spans="3:9" x14ac:dyDescent="0.3">
      <c r="C179" s="308"/>
      <c r="D179" s="308"/>
      <c r="E179" s="308"/>
      <c r="F179" s="308"/>
      <c r="G179" s="309"/>
      <c r="H179" s="309"/>
      <c r="I179" s="309"/>
    </row>
    <row r="180" spans="3:9" x14ac:dyDescent="0.3">
      <c r="C180" s="308"/>
      <c r="D180" s="308"/>
      <c r="E180" s="308"/>
      <c r="F180" s="308"/>
      <c r="G180" s="309"/>
      <c r="H180" s="309"/>
      <c r="I180" s="309"/>
    </row>
    <row r="181" spans="3:9" x14ac:dyDescent="0.3">
      <c r="C181" s="308"/>
      <c r="D181" s="308"/>
      <c r="E181" s="308"/>
      <c r="F181" s="308"/>
      <c r="G181" s="309"/>
      <c r="H181" s="309"/>
      <c r="I181" s="309"/>
    </row>
    <row r="182" spans="3:9" x14ac:dyDescent="0.3">
      <c r="C182" s="308"/>
      <c r="D182" s="308"/>
      <c r="E182" s="308"/>
      <c r="F182" s="308"/>
      <c r="G182" s="309"/>
      <c r="H182" s="309"/>
      <c r="I182" s="309"/>
    </row>
    <row r="183" spans="3:9" x14ac:dyDescent="0.3">
      <c r="C183" s="308"/>
      <c r="D183" s="308"/>
      <c r="E183" s="308"/>
      <c r="F183" s="308"/>
      <c r="G183" s="309"/>
      <c r="H183" s="309"/>
      <c r="I183" s="309"/>
    </row>
    <row r="184" spans="3:9" x14ac:dyDescent="0.3">
      <c r="C184" s="308"/>
      <c r="D184" s="308"/>
      <c r="E184" s="308"/>
      <c r="F184" s="308"/>
      <c r="G184" s="309"/>
      <c r="H184" s="309"/>
      <c r="I184" s="309"/>
    </row>
    <row r="185" spans="3:9" x14ac:dyDescent="0.3">
      <c r="C185" s="308"/>
      <c r="D185" s="308"/>
      <c r="E185" s="308"/>
      <c r="F185" s="308"/>
      <c r="G185" s="309"/>
      <c r="H185" s="309"/>
      <c r="I185" s="309"/>
    </row>
    <row r="186" spans="3:9" x14ac:dyDescent="0.3">
      <c r="C186" s="308"/>
      <c r="D186" s="308"/>
      <c r="E186" s="308"/>
      <c r="F186" s="308"/>
      <c r="G186" s="309"/>
      <c r="H186" s="309"/>
      <c r="I186" s="309"/>
    </row>
    <row r="187" spans="3:9" x14ac:dyDescent="0.3">
      <c r="C187" s="308"/>
      <c r="D187" s="308"/>
      <c r="E187" s="308"/>
      <c r="F187" s="308"/>
      <c r="G187" s="309"/>
      <c r="H187" s="309"/>
      <c r="I187" s="309"/>
    </row>
    <row r="188" spans="3:9" x14ac:dyDescent="0.3">
      <c r="C188" s="308"/>
      <c r="D188" s="308"/>
      <c r="E188" s="308"/>
      <c r="F188" s="308"/>
      <c r="G188" s="309"/>
      <c r="H188" s="309"/>
      <c r="I188" s="309"/>
    </row>
    <row r="189" spans="3:9" x14ac:dyDescent="0.3">
      <c r="C189" s="308"/>
      <c r="D189" s="308"/>
      <c r="E189" s="308"/>
      <c r="F189" s="308"/>
      <c r="G189" s="309"/>
      <c r="H189" s="309"/>
      <c r="I189" s="309"/>
    </row>
    <row r="190" spans="3:9" x14ac:dyDescent="0.3">
      <c r="C190" s="308"/>
      <c r="D190" s="308"/>
      <c r="E190" s="308"/>
      <c r="F190" s="308"/>
      <c r="G190" s="309"/>
      <c r="H190" s="309"/>
      <c r="I190" s="309"/>
    </row>
    <row r="191" spans="3:9" x14ac:dyDescent="0.3">
      <c r="C191" s="308"/>
      <c r="D191" s="308"/>
      <c r="E191" s="308"/>
      <c r="F191" s="308"/>
      <c r="G191" s="309"/>
      <c r="H191" s="309"/>
      <c r="I191" s="309"/>
    </row>
    <row r="192" spans="3:9" x14ac:dyDescent="0.3">
      <c r="C192" s="308"/>
      <c r="D192" s="308"/>
      <c r="E192" s="308"/>
      <c r="F192" s="308"/>
      <c r="G192" s="309"/>
      <c r="H192" s="309"/>
      <c r="I192" s="309"/>
    </row>
  </sheetData>
  <mergeCells count="9">
    <mergeCell ref="A7:J7"/>
    <mergeCell ref="A8:B8"/>
    <mergeCell ref="A9:B9"/>
    <mergeCell ref="A10:B10"/>
    <mergeCell ref="A1:J1"/>
    <mergeCell ref="A2:J2"/>
    <mergeCell ref="A3:J3"/>
    <mergeCell ref="A4:J4"/>
    <mergeCell ref="A5:J5"/>
  </mergeCells>
  <pageMargins left="0.39370078740157483" right="0.39370078740157483" top="0.39370078740157483" bottom="0.51181102362204722" header="0.31496062992125984" footer="0.31496062992125984"/>
  <pageSetup paperSize="9" scale="59" firstPageNumber="8" fitToHeight="0" orientation="landscape" useFirstPageNumber="1" r:id="rId1"/>
  <headerFooter>
    <oddFooter>&amp;R&amp;14&amp;P</oddFooter>
  </headerFooter>
  <rowBreaks count="2" manualBreakCount="2">
    <brk id="42" max="9" man="1"/>
    <brk id="84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A2EB1-9D4D-4172-83E9-F65B57D23B43}">
  <dimension ref="A1:M145"/>
  <sheetViews>
    <sheetView view="pageBreakPreview" zoomScaleNormal="100" zoomScaleSheetLayoutView="100" workbookViewId="0">
      <selection activeCell="M14" sqref="M14"/>
    </sheetView>
  </sheetViews>
  <sheetFormatPr defaultRowHeight="20.25" x14ac:dyDescent="0.3"/>
  <cols>
    <col min="1" max="4" width="7.7109375" style="89" customWidth="1"/>
    <col min="5" max="5" width="75.7109375" style="89" customWidth="1"/>
    <col min="6" max="10" width="20.7109375" style="89" customWidth="1"/>
    <col min="11" max="13" width="15.7109375" style="89" customWidth="1"/>
  </cols>
  <sheetData>
    <row r="1" spans="1:13" ht="22.5" x14ac:dyDescent="0.3">
      <c r="A1" s="457" t="s">
        <v>1010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</row>
    <row r="2" spans="1:13" x14ac:dyDescent="0.3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</row>
    <row r="3" spans="1:13" ht="22.5" x14ac:dyDescent="0.3">
      <c r="A3" s="457" t="s">
        <v>1069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</row>
    <row r="4" spans="1:13" x14ac:dyDescent="0.3">
      <c r="A4" s="271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</row>
    <row r="5" spans="1:13" ht="22.5" x14ac:dyDescent="0.3">
      <c r="A5" s="457" t="s">
        <v>1070</v>
      </c>
      <c r="B5" s="457"/>
      <c r="C5" s="457"/>
      <c r="D5" s="457"/>
      <c r="E5" s="457"/>
      <c r="F5" s="457"/>
      <c r="G5" s="457"/>
      <c r="H5" s="457"/>
      <c r="I5" s="457"/>
      <c r="J5" s="457"/>
      <c r="K5" s="457"/>
      <c r="L5" s="457"/>
      <c r="M5" s="457"/>
    </row>
    <row r="6" spans="1:13" ht="22.5" x14ac:dyDescent="0.3">
      <c r="A6" s="288"/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</row>
    <row r="7" spans="1:13" x14ac:dyDescent="0.3">
      <c r="A7" s="137" t="s">
        <v>1084</v>
      </c>
    </row>
    <row r="8" spans="1:13" ht="60.75" customHeight="1" x14ac:dyDescent="0.25">
      <c r="A8" s="461" t="s">
        <v>1039</v>
      </c>
      <c r="B8" s="461"/>
      <c r="C8" s="461"/>
      <c r="D8" s="461"/>
      <c r="E8" s="461"/>
      <c r="F8" s="276" t="s">
        <v>1014</v>
      </c>
      <c r="G8" s="276" t="s">
        <v>1015</v>
      </c>
      <c r="H8" s="276" t="s">
        <v>1013</v>
      </c>
      <c r="I8" s="276" t="s">
        <v>979</v>
      </c>
      <c r="J8" s="276" t="s">
        <v>1112</v>
      </c>
      <c r="K8" s="277" t="s">
        <v>1011</v>
      </c>
      <c r="L8" s="277" t="s">
        <v>1009</v>
      </c>
      <c r="M8" s="277" t="s">
        <v>1012</v>
      </c>
    </row>
    <row r="9" spans="1:13" x14ac:dyDescent="0.3">
      <c r="A9" s="458">
        <v>1</v>
      </c>
      <c r="B9" s="458"/>
      <c r="C9" s="458"/>
      <c r="D9" s="458"/>
      <c r="E9" s="458"/>
      <c r="F9" s="295">
        <v>2</v>
      </c>
      <c r="G9" s="296">
        <v>3</v>
      </c>
      <c r="H9" s="295">
        <v>4</v>
      </c>
      <c r="I9" s="295">
        <v>5</v>
      </c>
      <c r="J9" s="295">
        <v>6</v>
      </c>
      <c r="K9" s="295"/>
      <c r="L9" s="295"/>
      <c r="M9" s="295"/>
    </row>
    <row r="10" spans="1:13" s="344" customFormat="1" x14ac:dyDescent="0.3">
      <c r="A10" s="320">
        <v>8</v>
      </c>
      <c r="B10" s="320"/>
      <c r="C10" s="320"/>
      <c r="D10" s="320"/>
      <c r="E10" s="323" t="s">
        <v>531</v>
      </c>
      <c r="F10" s="328">
        <f>SUM(F11)</f>
        <v>3373.35</v>
      </c>
      <c r="G10" s="328">
        <f t="shared" ref="G10:J12" si="0">SUM(G11)</f>
        <v>8096.04</v>
      </c>
      <c r="H10" s="328">
        <f t="shared" si="0"/>
        <v>8000</v>
      </c>
      <c r="I10" s="328">
        <f t="shared" si="0"/>
        <v>8000</v>
      </c>
      <c r="J10" s="328">
        <f t="shared" si="0"/>
        <v>8096.04</v>
      </c>
      <c r="K10" s="329">
        <f>IFERROR(SUM(J10/F10),0)</f>
        <v>2.4</v>
      </c>
      <c r="L10" s="329">
        <f>IFERROR(SUM(J10/G10),0)</f>
        <v>1</v>
      </c>
      <c r="M10" s="329">
        <f>IFERROR(SUM(J10/H10),0)</f>
        <v>1.012005</v>
      </c>
    </row>
    <row r="11" spans="1:13" s="344" customFormat="1" x14ac:dyDescent="0.3">
      <c r="A11" s="323"/>
      <c r="B11" s="323">
        <v>84</v>
      </c>
      <c r="C11" s="323"/>
      <c r="D11" s="323"/>
      <c r="E11" s="323" t="s">
        <v>531</v>
      </c>
      <c r="F11" s="345">
        <f>SUM(F12)</f>
        <v>3373.35</v>
      </c>
      <c r="G11" s="345">
        <f t="shared" si="0"/>
        <v>8096.04</v>
      </c>
      <c r="H11" s="345">
        <f t="shared" si="0"/>
        <v>8000</v>
      </c>
      <c r="I11" s="345">
        <f t="shared" si="0"/>
        <v>8000</v>
      </c>
      <c r="J11" s="345">
        <f t="shared" si="0"/>
        <v>8096.04</v>
      </c>
      <c r="K11" s="346">
        <f>IFERROR(SUM(J11/F11),0)</f>
        <v>2.4</v>
      </c>
      <c r="L11" s="346">
        <f>IFERROR(SUM(J11/G11),0)</f>
        <v>1</v>
      </c>
      <c r="M11" s="346">
        <f>IFERROR(SUM(J11/H11),0)</f>
        <v>1.012005</v>
      </c>
    </row>
    <row r="12" spans="1:13" s="344" customFormat="1" x14ac:dyDescent="0.3">
      <c r="A12" s="324"/>
      <c r="B12" s="324"/>
      <c r="C12" s="324">
        <v>814</v>
      </c>
      <c r="D12" s="324"/>
      <c r="E12" s="280" t="s">
        <v>532</v>
      </c>
      <c r="F12" s="332">
        <f>SUM(F13)</f>
        <v>3373.35</v>
      </c>
      <c r="G12" s="332">
        <f t="shared" si="0"/>
        <v>8096.04</v>
      </c>
      <c r="H12" s="332">
        <f t="shared" si="0"/>
        <v>8000</v>
      </c>
      <c r="I12" s="332">
        <f t="shared" si="0"/>
        <v>8000</v>
      </c>
      <c r="J12" s="332">
        <f t="shared" si="0"/>
        <v>8096.04</v>
      </c>
      <c r="K12" s="329">
        <f>IFERROR(SUM(J12/F12),0)</f>
        <v>2.4</v>
      </c>
      <c r="L12" s="329">
        <f>IFERROR(SUM(J12/G12),0)</f>
        <v>1</v>
      </c>
      <c r="M12" s="329">
        <f>IFERROR(SUM(J12/H12),0)</f>
        <v>1.012005</v>
      </c>
    </row>
    <row r="13" spans="1:13" x14ac:dyDescent="0.3">
      <c r="A13" s="298"/>
      <c r="B13" s="298"/>
      <c r="C13" s="298"/>
      <c r="D13" s="298">
        <v>8141</v>
      </c>
      <c r="E13" s="298" t="s">
        <v>532</v>
      </c>
      <c r="F13" s="330">
        <f>SUM('PRIHODI ZA VIJEĆE '!D86)</f>
        <v>3373.35</v>
      </c>
      <c r="G13" s="330">
        <f>SUM('PRIHODI ZA VIJEĆE '!E86)</f>
        <v>8096.04</v>
      </c>
      <c r="H13" s="330">
        <f>SUM('PRIHODI ZA VIJEĆE '!F86)</f>
        <v>8000</v>
      </c>
      <c r="I13" s="330">
        <f>SUM('PRIHODI ZA VIJEĆE '!G86)</f>
        <v>8000</v>
      </c>
      <c r="J13" s="330">
        <f>SUM('PRIHODI ZA VIJEĆE '!H86)</f>
        <v>8096.04</v>
      </c>
      <c r="K13" s="331">
        <f>IFERROR(SUM(J13/F13),0)</f>
        <v>2.4</v>
      </c>
      <c r="L13" s="331">
        <f>IFERROR(SUM(J13/G13),0)</f>
        <v>1</v>
      </c>
      <c r="M13" s="331">
        <f>IFERROR(SUM(J13/I13),0)</f>
        <v>1.012005</v>
      </c>
    </row>
    <row r="14" spans="1:13" x14ac:dyDescent="0.3">
      <c r="F14" s="290"/>
      <c r="G14" s="290"/>
      <c r="H14" s="290"/>
      <c r="I14" s="290"/>
      <c r="J14" s="290"/>
      <c r="K14" s="290"/>
      <c r="L14" s="290"/>
      <c r="M14" s="290"/>
    </row>
    <row r="15" spans="1:13" x14ac:dyDescent="0.3">
      <c r="F15" s="290"/>
      <c r="G15" s="290"/>
      <c r="H15" s="290"/>
      <c r="I15" s="290"/>
      <c r="J15" s="290"/>
      <c r="K15" s="290"/>
      <c r="L15" s="290"/>
      <c r="M15" s="290"/>
    </row>
    <row r="16" spans="1:13" x14ac:dyDescent="0.3">
      <c r="F16" s="290"/>
      <c r="G16" s="290"/>
      <c r="H16" s="290"/>
      <c r="I16" s="290"/>
      <c r="J16" s="290"/>
      <c r="K16" s="290"/>
      <c r="L16" s="290"/>
      <c r="M16" s="290"/>
    </row>
    <row r="17" spans="6:13" x14ac:dyDescent="0.3">
      <c r="F17" s="290"/>
      <c r="G17" s="290"/>
      <c r="H17" s="290"/>
      <c r="I17" s="290"/>
      <c r="J17" s="290"/>
      <c r="K17" s="290"/>
      <c r="L17" s="290"/>
      <c r="M17" s="290"/>
    </row>
    <row r="18" spans="6:13" x14ac:dyDescent="0.3">
      <c r="F18" s="290"/>
      <c r="G18" s="290"/>
      <c r="H18" s="290"/>
      <c r="I18" s="290"/>
      <c r="J18" s="290"/>
      <c r="K18" s="290"/>
      <c r="L18" s="290"/>
      <c r="M18" s="290"/>
    </row>
    <row r="19" spans="6:13" x14ac:dyDescent="0.3">
      <c r="F19" s="290"/>
      <c r="G19" s="290"/>
      <c r="H19" s="290"/>
      <c r="I19" s="290"/>
      <c r="J19" s="290"/>
      <c r="K19" s="290"/>
      <c r="L19" s="290"/>
      <c r="M19" s="290"/>
    </row>
    <row r="20" spans="6:13" x14ac:dyDescent="0.3">
      <c r="F20" s="290"/>
      <c r="G20" s="290"/>
      <c r="H20" s="290"/>
      <c r="I20" s="290"/>
      <c r="J20" s="290"/>
      <c r="K20" s="290"/>
      <c r="L20" s="290"/>
      <c r="M20" s="290"/>
    </row>
    <row r="21" spans="6:13" x14ac:dyDescent="0.3">
      <c r="F21" s="290"/>
      <c r="G21" s="290"/>
      <c r="H21" s="290"/>
      <c r="I21" s="290"/>
      <c r="J21" s="290"/>
      <c r="K21" s="290"/>
      <c r="L21" s="290"/>
      <c r="M21" s="290"/>
    </row>
    <row r="22" spans="6:13" x14ac:dyDescent="0.3">
      <c r="F22" s="290"/>
      <c r="G22" s="290"/>
      <c r="H22" s="290"/>
      <c r="I22" s="290"/>
      <c r="J22" s="290"/>
      <c r="K22" s="290"/>
      <c r="L22" s="290"/>
      <c r="M22" s="290"/>
    </row>
    <row r="23" spans="6:13" x14ac:dyDescent="0.3">
      <c r="F23" s="290"/>
      <c r="G23" s="290"/>
      <c r="H23" s="290"/>
      <c r="I23" s="290"/>
      <c r="J23" s="290"/>
      <c r="K23" s="290"/>
      <c r="L23" s="290"/>
      <c r="M23" s="290"/>
    </row>
    <row r="24" spans="6:13" x14ac:dyDescent="0.3">
      <c r="F24" s="290"/>
      <c r="G24" s="290"/>
      <c r="H24" s="290"/>
      <c r="I24" s="290"/>
      <c r="J24" s="290"/>
      <c r="K24" s="290"/>
      <c r="L24" s="290"/>
      <c r="M24" s="290"/>
    </row>
    <row r="25" spans="6:13" x14ac:dyDescent="0.3">
      <c r="F25" s="290"/>
      <c r="G25" s="290"/>
      <c r="H25" s="290"/>
      <c r="I25" s="290"/>
      <c r="J25" s="290"/>
      <c r="K25" s="290"/>
      <c r="L25" s="290"/>
      <c r="M25" s="290"/>
    </row>
    <row r="26" spans="6:13" x14ac:dyDescent="0.3">
      <c r="F26" s="290"/>
      <c r="G26" s="290"/>
      <c r="H26" s="290"/>
      <c r="I26" s="290"/>
      <c r="J26" s="290"/>
      <c r="K26" s="290"/>
      <c r="L26" s="290"/>
      <c r="M26" s="290"/>
    </row>
    <row r="27" spans="6:13" x14ac:dyDescent="0.3">
      <c r="F27" s="290"/>
      <c r="G27" s="290"/>
      <c r="H27" s="290"/>
      <c r="I27" s="290"/>
      <c r="J27" s="290"/>
      <c r="K27" s="290"/>
      <c r="L27" s="290"/>
      <c r="M27" s="290"/>
    </row>
    <row r="28" spans="6:13" x14ac:dyDescent="0.3">
      <c r="F28" s="290"/>
      <c r="G28" s="290"/>
      <c r="H28" s="290"/>
      <c r="I28" s="290"/>
      <c r="J28" s="290"/>
      <c r="K28" s="290"/>
      <c r="L28" s="290"/>
      <c r="M28" s="290"/>
    </row>
    <row r="29" spans="6:13" x14ac:dyDescent="0.3">
      <c r="F29" s="290"/>
      <c r="G29" s="290"/>
      <c r="H29" s="290"/>
      <c r="I29" s="290"/>
      <c r="J29" s="290"/>
      <c r="K29" s="290"/>
      <c r="L29" s="290"/>
      <c r="M29" s="290"/>
    </row>
    <row r="30" spans="6:13" x14ac:dyDescent="0.3">
      <c r="F30" s="290"/>
      <c r="G30" s="290"/>
      <c r="H30" s="290"/>
      <c r="I30" s="290"/>
      <c r="J30" s="290"/>
      <c r="K30" s="290"/>
      <c r="L30" s="290"/>
      <c r="M30" s="290"/>
    </row>
    <row r="31" spans="6:13" x14ac:dyDescent="0.3">
      <c r="F31" s="290"/>
      <c r="G31" s="290"/>
      <c r="H31" s="290"/>
      <c r="I31" s="290"/>
      <c r="J31" s="290"/>
      <c r="K31" s="290"/>
      <c r="L31" s="290"/>
      <c r="M31" s="290"/>
    </row>
    <row r="32" spans="6:13" x14ac:dyDescent="0.3">
      <c r="F32" s="290"/>
      <c r="G32" s="290"/>
      <c r="H32" s="290"/>
      <c r="I32" s="290"/>
      <c r="J32" s="290"/>
      <c r="K32" s="290"/>
      <c r="L32" s="290"/>
      <c r="M32" s="290"/>
    </row>
    <row r="33" spans="6:13" x14ac:dyDescent="0.3">
      <c r="F33" s="290"/>
      <c r="G33" s="290"/>
      <c r="H33" s="290"/>
      <c r="I33" s="290"/>
      <c r="J33" s="290"/>
      <c r="K33" s="290"/>
      <c r="L33" s="290"/>
      <c r="M33" s="290"/>
    </row>
    <row r="34" spans="6:13" x14ac:dyDescent="0.3">
      <c r="F34" s="290"/>
      <c r="G34" s="290"/>
      <c r="H34" s="290"/>
      <c r="I34" s="290"/>
      <c r="J34" s="290"/>
      <c r="K34" s="290"/>
      <c r="L34" s="290"/>
      <c r="M34" s="290"/>
    </row>
    <row r="35" spans="6:13" x14ac:dyDescent="0.3">
      <c r="F35" s="290"/>
      <c r="G35" s="290"/>
      <c r="H35" s="290"/>
      <c r="I35" s="290"/>
      <c r="J35" s="290"/>
      <c r="K35" s="290"/>
      <c r="L35" s="290"/>
      <c r="M35" s="290"/>
    </row>
    <row r="36" spans="6:13" x14ac:dyDescent="0.3">
      <c r="F36" s="290"/>
      <c r="G36" s="290"/>
      <c r="H36" s="290"/>
      <c r="I36" s="290"/>
      <c r="J36" s="290"/>
      <c r="K36" s="290"/>
      <c r="L36" s="290"/>
      <c r="M36" s="290"/>
    </row>
    <row r="37" spans="6:13" x14ac:dyDescent="0.3">
      <c r="F37" s="290"/>
      <c r="G37" s="290"/>
      <c r="H37" s="290"/>
      <c r="I37" s="290"/>
      <c r="J37" s="290"/>
      <c r="K37" s="290"/>
      <c r="L37" s="290"/>
      <c r="M37" s="290"/>
    </row>
    <row r="38" spans="6:13" x14ac:dyDescent="0.3">
      <c r="F38" s="290"/>
      <c r="G38" s="290"/>
      <c r="H38" s="290"/>
      <c r="I38" s="290"/>
      <c r="J38" s="290"/>
      <c r="K38" s="290"/>
      <c r="L38" s="290"/>
      <c r="M38" s="290"/>
    </row>
    <row r="39" spans="6:13" x14ac:dyDescent="0.3">
      <c r="F39" s="290"/>
      <c r="G39" s="290"/>
      <c r="H39" s="290"/>
      <c r="I39" s="290"/>
      <c r="J39" s="290"/>
      <c r="K39" s="290"/>
      <c r="L39" s="290"/>
      <c r="M39" s="290"/>
    </row>
    <row r="40" spans="6:13" x14ac:dyDescent="0.3">
      <c r="F40" s="290"/>
      <c r="G40" s="290"/>
      <c r="H40" s="290"/>
      <c r="I40" s="290"/>
      <c r="J40" s="290"/>
      <c r="K40" s="290"/>
      <c r="L40" s="290"/>
      <c r="M40" s="290"/>
    </row>
    <row r="41" spans="6:13" x14ac:dyDescent="0.3">
      <c r="F41" s="290"/>
      <c r="G41" s="290"/>
      <c r="H41" s="290"/>
      <c r="I41" s="290"/>
      <c r="J41" s="290"/>
      <c r="K41" s="290"/>
      <c r="L41" s="290"/>
      <c r="M41" s="290"/>
    </row>
    <row r="42" spans="6:13" x14ac:dyDescent="0.3">
      <c r="F42" s="290"/>
      <c r="G42" s="290"/>
      <c r="H42" s="290"/>
      <c r="I42" s="290"/>
      <c r="J42" s="290"/>
      <c r="K42" s="290"/>
      <c r="L42" s="290"/>
      <c r="M42" s="290"/>
    </row>
    <row r="43" spans="6:13" x14ac:dyDescent="0.3">
      <c r="F43" s="290"/>
      <c r="G43" s="290"/>
      <c r="H43" s="290"/>
      <c r="I43" s="290"/>
      <c r="J43" s="290"/>
      <c r="K43" s="290"/>
      <c r="L43" s="290"/>
      <c r="M43" s="290"/>
    </row>
    <row r="44" spans="6:13" x14ac:dyDescent="0.3">
      <c r="F44" s="290"/>
      <c r="G44" s="290"/>
      <c r="H44" s="290"/>
      <c r="I44" s="290"/>
      <c r="J44" s="290"/>
      <c r="K44" s="290"/>
      <c r="L44" s="290"/>
      <c r="M44" s="290"/>
    </row>
    <row r="45" spans="6:13" x14ac:dyDescent="0.3">
      <c r="F45" s="290"/>
      <c r="G45" s="290"/>
      <c r="H45" s="290"/>
      <c r="I45" s="290"/>
      <c r="J45" s="290"/>
      <c r="K45" s="290"/>
      <c r="L45" s="290"/>
      <c r="M45" s="290"/>
    </row>
    <row r="46" spans="6:13" x14ac:dyDescent="0.3">
      <c r="F46" s="290"/>
      <c r="G46" s="290"/>
      <c r="H46" s="290"/>
      <c r="I46" s="290"/>
      <c r="J46" s="290"/>
      <c r="K46" s="290"/>
      <c r="L46" s="290"/>
      <c r="M46" s="290"/>
    </row>
    <row r="47" spans="6:13" x14ac:dyDescent="0.3">
      <c r="F47" s="290"/>
      <c r="G47" s="290"/>
      <c r="H47" s="290"/>
      <c r="I47" s="290"/>
      <c r="J47" s="290"/>
      <c r="K47" s="290"/>
      <c r="L47" s="290"/>
      <c r="M47" s="290"/>
    </row>
    <row r="48" spans="6:13" x14ac:dyDescent="0.3">
      <c r="F48" s="290"/>
      <c r="G48" s="290"/>
      <c r="H48" s="290"/>
      <c r="I48" s="290"/>
      <c r="J48" s="290"/>
      <c r="K48" s="290"/>
      <c r="L48" s="290"/>
      <c r="M48" s="290"/>
    </row>
    <row r="49" spans="6:13" x14ac:dyDescent="0.3">
      <c r="F49" s="290"/>
      <c r="G49" s="290"/>
      <c r="H49" s="290"/>
      <c r="I49" s="290"/>
      <c r="J49" s="290"/>
      <c r="K49" s="290"/>
      <c r="L49" s="290"/>
      <c r="M49" s="290"/>
    </row>
    <row r="50" spans="6:13" x14ac:dyDescent="0.3">
      <c r="F50" s="290"/>
      <c r="G50" s="290"/>
      <c r="H50" s="290"/>
      <c r="I50" s="290"/>
      <c r="J50" s="290"/>
      <c r="K50" s="290"/>
      <c r="L50" s="290"/>
      <c r="M50" s="290"/>
    </row>
    <row r="51" spans="6:13" x14ac:dyDescent="0.3">
      <c r="F51" s="290"/>
      <c r="G51" s="290"/>
      <c r="H51" s="290"/>
      <c r="I51" s="290"/>
      <c r="J51" s="290"/>
      <c r="K51" s="290"/>
      <c r="L51" s="290"/>
      <c r="M51" s="290"/>
    </row>
    <row r="52" spans="6:13" x14ac:dyDescent="0.3">
      <c r="F52" s="290"/>
      <c r="G52" s="290"/>
      <c r="H52" s="290"/>
      <c r="I52" s="290"/>
      <c r="J52" s="290"/>
      <c r="K52" s="290"/>
      <c r="L52" s="290"/>
      <c r="M52" s="290"/>
    </row>
    <row r="53" spans="6:13" x14ac:dyDescent="0.3">
      <c r="F53" s="290"/>
      <c r="G53" s="290"/>
      <c r="H53" s="290"/>
      <c r="I53" s="290"/>
      <c r="J53" s="290"/>
      <c r="K53" s="290"/>
      <c r="L53" s="290"/>
      <c r="M53" s="290"/>
    </row>
    <row r="54" spans="6:13" x14ac:dyDescent="0.3">
      <c r="F54" s="290"/>
      <c r="G54" s="290"/>
      <c r="H54" s="290"/>
      <c r="I54" s="290"/>
      <c r="J54" s="290"/>
      <c r="K54" s="290"/>
      <c r="L54" s="290"/>
      <c r="M54" s="290"/>
    </row>
    <row r="55" spans="6:13" x14ac:dyDescent="0.3">
      <c r="F55" s="290"/>
      <c r="G55" s="290"/>
      <c r="H55" s="290"/>
      <c r="I55" s="290"/>
      <c r="J55" s="290"/>
      <c r="K55" s="290"/>
      <c r="L55" s="290"/>
      <c r="M55" s="290"/>
    </row>
    <row r="56" spans="6:13" x14ac:dyDescent="0.3">
      <c r="F56" s="290"/>
      <c r="G56" s="290"/>
      <c r="H56" s="290"/>
      <c r="I56" s="290"/>
      <c r="J56" s="290"/>
      <c r="K56" s="290"/>
      <c r="L56" s="290"/>
      <c r="M56" s="290"/>
    </row>
    <row r="57" spans="6:13" x14ac:dyDescent="0.3">
      <c r="F57" s="290"/>
      <c r="G57" s="290"/>
      <c r="H57" s="290"/>
      <c r="I57" s="290"/>
      <c r="J57" s="290"/>
      <c r="K57" s="290"/>
      <c r="L57" s="290"/>
      <c r="M57" s="290"/>
    </row>
    <row r="58" spans="6:13" x14ac:dyDescent="0.3">
      <c r="F58" s="290"/>
      <c r="G58" s="290"/>
      <c r="H58" s="290"/>
      <c r="I58" s="290"/>
      <c r="J58" s="290"/>
      <c r="K58" s="290"/>
      <c r="L58" s="290"/>
      <c r="M58" s="290"/>
    </row>
    <row r="59" spans="6:13" x14ac:dyDescent="0.3">
      <c r="F59" s="290"/>
      <c r="G59" s="290"/>
      <c r="H59" s="290"/>
      <c r="I59" s="290"/>
      <c r="J59" s="290"/>
      <c r="K59" s="290"/>
      <c r="L59" s="290"/>
      <c r="M59" s="290"/>
    </row>
    <row r="60" spans="6:13" x14ac:dyDescent="0.3">
      <c r="F60" s="290"/>
      <c r="G60" s="290"/>
      <c r="H60" s="290"/>
      <c r="I60" s="290"/>
      <c r="J60" s="290"/>
      <c r="K60" s="290"/>
      <c r="L60" s="290"/>
      <c r="M60" s="290"/>
    </row>
    <row r="61" spans="6:13" x14ac:dyDescent="0.3">
      <c r="F61" s="290"/>
      <c r="G61" s="290"/>
      <c r="H61" s="290"/>
      <c r="I61" s="290"/>
      <c r="J61" s="290"/>
      <c r="K61" s="290"/>
      <c r="L61" s="290"/>
      <c r="M61" s="290"/>
    </row>
    <row r="62" spans="6:13" x14ac:dyDescent="0.3">
      <c r="F62" s="290"/>
      <c r="G62" s="290"/>
      <c r="H62" s="290"/>
      <c r="I62" s="290"/>
      <c r="J62" s="290"/>
      <c r="K62" s="290"/>
      <c r="L62" s="290"/>
      <c r="M62" s="290"/>
    </row>
    <row r="63" spans="6:13" x14ac:dyDescent="0.3">
      <c r="F63" s="290"/>
      <c r="G63" s="290"/>
      <c r="H63" s="290"/>
      <c r="I63" s="290"/>
      <c r="J63" s="290"/>
      <c r="K63" s="290"/>
      <c r="L63" s="290"/>
      <c r="M63" s="290"/>
    </row>
    <row r="64" spans="6:13" x14ac:dyDescent="0.3">
      <c r="F64" s="290"/>
      <c r="G64" s="290"/>
      <c r="H64" s="290"/>
      <c r="I64" s="290"/>
      <c r="J64" s="290"/>
      <c r="K64" s="290"/>
      <c r="L64" s="290"/>
      <c r="M64" s="290"/>
    </row>
    <row r="65" spans="6:13" x14ac:dyDescent="0.3">
      <c r="F65" s="290"/>
      <c r="G65" s="290"/>
      <c r="H65" s="290"/>
      <c r="I65" s="290"/>
      <c r="J65" s="290"/>
      <c r="K65" s="290"/>
      <c r="L65" s="290"/>
      <c r="M65" s="290"/>
    </row>
    <row r="66" spans="6:13" x14ac:dyDescent="0.3">
      <c r="F66" s="290"/>
      <c r="G66" s="290"/>
      <c r="H66" s="290"/>
      <c r="I66" s="290"/>
      <c r="J66" s="290"/>
      <c r="K66" s="290"/>
      <c r="L66" s="290"/>
      <c r="M66" s="290"/>
    </row>
    <row r="67" spans="6:13" x14ac:dyDescent="0.3">
      <c r="F67" s="290"/>
      <c r="G67" s="290"/>
      <c r="H67" s="290"/>
      <c r="I67" s="290"/>
      <c r="J67" s="290"/>
      <c r="K67" s="290"/>
      <c r="L67" s="290"/>
      <c r="M67" s="290"/>
    </row>
    <row r="68" spans="6:13" x14ac:dyDescent="0.3">
      <c r="F68" s="290"/>
      <c r="G68" s="290"/>
      <c r="H68" s="290"/>
      <c r="I68" s="290"/>
      <c r="J68" s="290"/>
      <c r="K68" s="290"/>
      <c r="L68" s="290"/>
      <c r="M68" s="290"/>
    </row>
    <row r="69" spans="6:13" x14ac:dyDescent="0.3">
      <c r="F69" s="290"/>
      <c r="G69" s="290"/>
      <c r="H69" s="290"/>
      <c r="I69" s="290"/>
      <c r="J69" s="290"/>
      <c r="K69" s="290"/>
      <c r="L69" s="290"/>
      <c r="M69" s="290"/>
    </row>
    <row r="70" spans="6:13" x14ac:dyDescent="0.3">
      <c r="F70" s="290"/>
      <c r="G70" s="290"/>
      <c r="H70" s="290"/>
      <c r="I70" s="290"/>
      <c r="J70" s="290"/>
      <c r="K70" s="290"/>
      <c r="L70" s="290"/>
      <c r="M70" s="290"/>
    </row>
    <row r="71" spans="6:13" x14ac:dyDescent="0.3">
      <c r="F71" s="290"/>
      <c r="G71" s="290"/>
      <c r="H71" s="290"/>
      <c r="I71" s="290"/>
      <c r="J71" s="290"/>
      <c r="K71" s="290"/>
      <c r="L71" s="290"/>
      <c r="M71" s="290"/>
    </row>
    <row r="72" spans="6:13" x14ac:dyDescent="0.3">
      <c r="F72" s="290"/>
      <c r="G72" s="290"/>
      <c r="H72" s="290"/>
      <c r="I72" s="290"/>
      <c r="J72" s="290"/>
      <c r="K72" s="290"/>
      <c r="L72" s="290"/>
      <c r="M72" s="290"/>
    </row>
    <row r="73" spans="6:13" x14ac:dyDescent="0.3">
      <c r="F73" s="290"/>
      <c r="G73" s="290"/>
      <c r="H73" s="290"/>
      <c r="I73" s="290"/>
      <c r="J73" s="290"/>
      <c r="K73" s="290"/>
      <c r="L73" s="290"/>
      <c r="M73" s="290"/>
    </row>
    <row r="74" spans="6:13" x14ac:dyDescent="0.3">
      <c r="F74" s="290"/>
      <c r="G74" s="290"/>
      <c r="H74" s="290"/>
      <c r="I74" s="290"/>
      <c r="J74" s="290"/>
      <c r="K74" s="290"/>
      <c r="L74" s="290"/>
      <c r="M74" s="290"/>
    </row>
    <row r="75" spans="6:13" x14ac:dyDescent="0.3">
      <c r="F75" s="290"/>
      <c r="G75" s="290"/>
      <c r="H75" s="290"/>
      <c r="I75" s="290"/>
      <c r="J75" s="290"/>
      <c r="K75" s="290"/>
      <c r="L75" s="290"/>
      <c r="M75" s="290"/>
    </row>
    <row r="76" spans="6:13" x14ac:dyDescent="0.3">
      <c r="F76" s="290"/>
      <c r="G76" s="290"/>
      <c r="H76" s="290"/>
      <c r="I76" s="290"/>
      <c r="J76" s="290"/>
      <c r="K76" s="290"/>
      <c r="L76" s="290"/>
      <c r="M76" s="290"/>
    </row>
    <row r="77" spans="6:13" x14ac:dyDescent="0.3">
      <c r="F77" s="290"/>
      <c r="G77" s="290"/>
      <c r="H77" s="290"/>
      <c r="I77" s="290"/>
      <c r="J77" s="290"/>
      <c r="K77" s="290"/>
      <c r="L77" s="290"/>
      <c r="M77" s="290"/>
    </row>
    <row r="78" spans="6:13" x14ac:dyDescent="0.3">
      <c r="F78" s="290"/>
      <c r="G78" s="290"/>
      <c r="H78" s="290"/>
      <c r="I78" s="290"/>
      <c r="J78" s="290"/>
      <c r="K78" s="290"/>
      <c r="L78" s="290"/>
      <c r="M78" s="290"/>
    </row>
    <row r="79" spans="6:13" x14ac:dyDescent="0.3">
      <c r="F79" s="290"/>
      <c r="G79" s="290"/>
      <c r="H79" s="290"/>
      <c r="I79" s="290"/>
      <c r="J79" s="290"/>
      <c r="K79" s="290"/>
      <c r="L79" s="290"/>
      <c r="M79" s="290"/>
    </row>
    <row r="80" spans="6:13" x14ac:dyDescent="0.3">
      <c r="F80" s="290"/>
      <c r="G80" s="290"/>
      <c r="H80" s="290"/>
      <c r="I80" s="290"/>
      <c r="J80" s="290"/>
      <c r="K80" s="290"/>
      <c r="L80" s="290"/>
      <c r="M80" s="290"/>
    </row>
    <row r="81" spans="6:13" x14ac:dyDescent="0.3">
      <c r="F81" s="290"/>
      <c r="G81" s="290"/>
      <c r="H81" s="290"/>
      <c r="I81" s="290"/>
      <c r="J81" s="290"/>
      <c r="K81" s="290"/>
      <c r="L81" s="290"/>
      <c r="M81" s="290"/>
    </row>
    <row r="82" spans="6:13" x14ac:dyDescent="0.3">
      <c r="F82" s="290"/>
      <c r="G82" s="290"/>
      <c r="H82" s="290"/>
      <c r="I82" s="290"/>
      <c r="J82" s="290"/>
      <c r="K82" s="290"/>
      <c r="L82" s="290"/>
      <c r="M82" s="290"/>
    </row>
    <row r="83" spans="6:13" x14ac:dyDescent="0.3">
      <c r="F83" s="290"/>
      <c r="G83" s="290"/>
      <c r="H83" s="290"/>
      <c r="I83" s="290"/>
      <c r="J83" s="290"/>
      <c r="K83" s="290"/>
      <c r="L83" s="290"/>
      <c r="M83" s="290"/>
    </row>
    <row r="84" spans="6:13" x14ac:dyDescent="0.3">
      <c r="F84" s="290"/>
      <c r="G84" s="290"/>
      <c r="H84" s="290"/>
      <c r="I84" s="290"/>
      <c r="J84" s="290"/>
      <c r="K84" s="290"/>
      <c r="L84" s="290"/>
      <c r="M84" s="290"/>
    </row>
    <row r="85" spans="6:13" x14ac:dyDescent="0.3">
      <c r="F85" s="290"/>
      <c r="G85" s="290"/>
      <c r="H85" s="290"/>
      <c r="I85" s="290"/>
      <c r="J85" s="290"/>
      <c r="K85" s="290"/>
      <c r="L85" s="290"/>
      <c r="M85" s="290"/>
    </row>
    <row r="86" spans="6:13" x14ac:dyDescent="0.3">
      <c r="F86" s="290"/>
      <c r="G86" s="290"/>
      <c r="H86" s="290"/>
      <c r="I86" s="290"/>
      <c r="J86" s="290"/>
      <c r="K86" s="290"/>
      <c r="L86" s="290"/>
      <c r="M86" s="290"/>
    </row>
    <row r="87" spans="6:13" x14ac:dyDescent="0.3">
      <c r="F87" s="290"/>
      <c r="G87" s="290"/>
      <c r="H87" s="290"/>
      <c r="I87" s="290"/>
      <c r="J87" s="290"/>
      <c r="K87" s="290"/>
      <c r="L87" s="290"/>
      <c r="M87" s="290"/>
    </row>
    <row r="88" spans="6:13" x14ac:dyDescent="0.3">
      <c r="F88" s="290"/>
      <c r="G88" s="290"/>
      <c r="H88" s="290"/>
      <c r="I88" s="290"/>
      <c r="J88" s="290"/>
      <c r="K88" s="290"/>
      <c r="L88" s="290"/>
      <c r="M88" s="290"/>
    </row>
    <row r="89" spans="6:13" x14ac:dyDescent="0.3">
      <c r="F89" s="290"/>
      <c r="G89" s="290"/>
      <c r="H89" s="290"/>
      <c r="I89" s="290"/>
      <c r="J89" s="290"/>
      <c r="K89" s="290"/>
      <c r="L89" s="290"/>
      <c r="M89" s="290"/>
    </row>
    <row r="90" spans="6:13" x14ac:dyDescent="0.3">
      <c r="F90" s="290"/>
      <c r="G90" s="290"/>
      <c r="H90" s="290"/>
      <c r="I90" s="290"/>
      <c r="J90" s="290"/>
      <c r="K90" s="290"/>
      <c r="L90" s="290"/>
      <c r="M90" s="290"/>
    </row>
    <row r="91" spans="6:13" x14ac:dyDescent="0.3">
      <c r="F91" s="290"/>
      <c r="G91" s="290"/>
      <c r="H91" s="290"/>
      <c r="I91" s="290"/>
      <c r="J91" s="290"/>
      <c r="K91" s="290"/>
      <c r="L91" s="290"/>
      <c r="M91" s="290"/>
    </row>
    <row r="92" spans="6:13" x14ac:dyDescent="0.3">
      <c r="F92" s="290"/>
      <c r="G92" s="290"/>
      <c r="H92" s="290"/>
      <c r="I92" s="290"/>
      <c r="J92" s="290"/>
      <c r="K92" s="290"/>
      <c r="L92" s="290"/>
      <c r="M92" s="290"/>
    </row>
    <row r="93" spans="6:13" x14ac:dyDescent="0.3">
      <c r="F93" s="290"/>
      <c r="G93" s="290"/>
      <c r="H93" s="290"/>
      <c r="I93" s="290"/>
      <c r="J93" s="290"/>
      <c r="K93" s="290"/>
      <c r="L93" s="290"/>
      <c r="M93" s="290"/>
    </row>
    <row r="94" spans="6:13" x14ac:dyDescent="0.3">
      <c r="F94" s="290"/>
      <c r="G94" s="290"/>
      <c r="H94" s="290"/>
      <c r="I94" s="290"/>
      <c r="J94" s="290"/>
      <c r="K94" s="290"/>
      <c r="L94" s="290"/>
      <c r="M94" s="290"/>
    </row>
    <row r="95" spans="6:13" x14ac:dyDescent="0.3">
      <c r="F95" s="290"/>
      <c r="G95" s="290"/>
      <c r="H95" s="290"/>
      <c r="I95" s="290"/>
      <c r="J95" s="290"/>
      <c r="K95" s="290"/>
      <c r="L95" s="290"/>
      <c r="M95" s="290"/>
    </row>
    <row r="96" spans="6:13" x14ac:dyDescent="0.3">
      <c r="F96" s="290"/>
      <c r="G96" s="290"/>
      <c r="H96" s="290"/>
      <c r="I96" s="290"/>
      <c r="J96" s="290"/>
      <c r="K96" s="290"/>
      <c r="L96" s="290"/>
      <c r="M96" s="290"/>
    </row>
    <row r="97" spans="6:13" x14ac:dyDescent="0.3">
      <c r="F97" s="290"/>
      <c r="G97" s="290"/>
      <c r="H97" s="290"/>
      <c r="I97" s="290"/>
      <c r="J97" s="290"/>
      <c r="K97" s="290"/>
      <c r="L97" s="290"/>
      <c r="M97" s="290"/>
    </row>
    <row r="98" spans="6:13" x14ac:dyDescent="0.3">
      <c r="F98" s="290"/>
      <c r="G98" s="290"/>
      <c r="H98" s="290"/>
      <c r="I98" s="290"/>
      <c r="J98" s="290"/>
      <c r="K98" s="290"/>
      <c r="L98" s="290"/>
      <c r="M98" s="290"/>
    </row>
    <row r="99" spans="6:13" x14ac:dyDescent="0.3">
      <c r="F99" s="290"/>
      <c r="G99" s="290"/>
      <c r="H99" s="290"/>
      <c r="I99" s="290"/>
      <c r="J99" s="290"/>
      <c r="K99" s="290"/>
      <c r="L99" s="290"/>
      <c r="M99" s="290"/>
    </row>
    <row r="100" spans="6:13" x14ac:dyDescent="0.3">
      <c r="F100" s="290"/>
      <c r="G100" s="290"/>
      <c r="H100" s="290"/>
      <c r="I100" s="290"/>
      <c r="J100" s="290"/>
      <c r="K100" s="290"/>
      <c r="L100" s="290"/>
      <c r="M100" s="290"/>
    </row>
    <row r="101" spans="6:13" x14ac:dyDescent="0.3">
      <c r="F101" s="290"/>
      <c r="G101" s="290"/>
      <c r="H101" s="290"/>
      <c r="I101" s="290"/>
      <c r="J101" s="290"/>
      <c r="K101" s="290"/>
      <c r="L101" s="290"/>
      <c r="M101" s="290"/>
    </row>
    <row r="102" spans="6:13" x14ac:dyDescent="0.3">
      <c r="F102" s="290"/>
      <c r="G102" s="290"/>
      <c r="H102" s="290"/>
      <c r="I102" s="290"/>
      <c r="J102" s="290"/>
      <c r="K102" s="290"/>
      <c r="L102" s="290"/>
      <c r="M102" s="290"/>
    </row>
    <row r="103" spans="6:13" x14ac:dyDescent="0.3">
      <c r="F103" s="290"/>
      <c r="G103" s="290"/>
      <c r="H103" s="290"/>
      <c r="I103" s="290"/>
      <c r="J103" s="290"/>
      <c r="K103" s="290"/>
      <c r="L103" s="290"/>
      <c r="M103" s="290"/>
    </row>
    <row r="104" spans="6:13" x14ac:dyDescent="0.3">
      <c r="F104" s="290"/>
      <c r="G104" s="290"/>
      <c r="H104" s="290"/>
      <c r="I104" s="290"/>
      <c r="J104" s="290"/>
      <c r="K104" s="290"/>
      <c r="L104" s="290"/>
      <c r="M104" s="290"/>
    </row>
    <row r="105" spans="6:13" x14ac:dyDescent="0.3">
      <c r="F105" s="290"/>
      <c r="G105" s="290"/>
      <c r="H105" s="290"/>
      <c r="I105" s="290"/>
      <c r="J105" s="290"/>
      <c r="K105" s="290"/>
      <c r="L105" s="290"/>
      <c r="M105" s="290"/>
    </row>
    <row r="106" spans="6:13" x14ac:dyDescent="0.3">
      <c r="F106" s="290"/>
      <c r="G106" s="290"/>
      <c r="H106" s="290"/>
      <c r="I106" s="290"/>
      <c r="J106" s="290"/>
      <c r="K106" s="290"/>
      <c r="L106" s="290"/>
      <c r="M106" s="290"/>
    </row>
    <row r="107" spans="6:13" x14ac:dyDescent="0.3">
      <c r="F107" s="290"/>
      <c r="G107" s="290"/>
      <c r="H107" s="290"/>
      <c r="I107" s="290"/>
      <c r="J107" s="290"/>
      <c r="K107" s="290"/>
      <c r="L107" s="290"/>
      <c r="M107" s="290"/>
    </row>
    <row r="108" spans="6:13" x14ac:dyDescent="0.3">
      <c r="F108" s="290"/>
      <c r="G108" s="290"/>
      <c r="H108" s="290"/>
      <c r="I108" s="290"/>
      <c r="J108" s="290"/>
      <c r="K108" s="290"/>
      <c r="L108" s="290"/>
      <c r="M108" s="290"/>
    </row>
    <row r="109" spans="6:13" x14ac:dyDescent="0.3">
      <c r="F109" s="290"/>
      <c r="G109" s="290"/>
      <c r="H109" s="290"/>
      <c r="I109" s="290"/>
      <c r="J109" s="290"/>
      <c r="K109" s="290"/>
      <c r="L109" s="290"/>
      <c r="M109" s="290"/>
    </row>
    <row r="110" spans="6:13" x14ac:dyDescent="0.3">
      <c r="F110" s="290"/>
      <c r="G110" s="290"/>
      <c r="H110" s="290"/>
      <c r="I110" s="290"/>
      <c r="J110" s="290"/>
      <c r="K110" s="290"/>
      <c r="L110" s="290"/>
      <c r="M110" s="290"/>
    </row>
    <row r="111" spans="6:13" x14ac:dyDescent="0.3">
      <c r="F111" s="290"/>
      <c r="G111" s="290"/>
      <c r="H111" s="290"/>
      <c r="I111" s="290"/>
      <c r="J111" s="290"/>
      <c r="K111" s="290"/>
      <c r="L111" s="290"/>
      <c r="M111" s="290"/>
    </row>
    <row r="112" spans="6:13" x14ac:dyDescent="0.3">
      <c r="F112" s="290"/>
      <c r="G112" s="290"/>
      <c r="H112" s="290"/>
      <c r="I112" s="290"/>
      <c r="J112" s="290"/>
      <c r="K112" s="290"/>
      <c r="L112" s="290"/>
      <c r="M112" s="290"/>
    </row>
    <row r="113" spans="6:13" x14ac:dyDescent="0.3">
      <c r="F113" s="290"/>
      <c r="G113" s="290"/>
      <c r="H113" s="290"/>
      <c r="I113" s="290"/>
      <c r="J113" s="290"/>
      <c r="K113" s="290"/>
      <c r="L113" s="290"/>
      <c r="M113" s="290"/>
    </row>
    <row r="114" spans="6:13" x14ac:dyDescent="0.3">
      <c r="F114" s="290"/>
      <c r="G114" s="290"/>
      <c r="H114" s="290"/>
      <c r="I114" s="290"/>
      <c r="J114" s="290"/>
      <c r="K114" s="290"/>
      <c r="L114" s="290"/>
      <c r="M114" s="290"/>
    </row>
    <row r="115" spans="6:13" x14ac:dyDescent="0.3">
      <c r="F115" s="290"/>
      <c r="G115" s="290"/>
      <c r="H115" s="290"/>
      <c r="I115" s="290"/>
      <c r="J115" s="290"/>
      <c r="K115" s="290"/>
      <c r="L115" s="290"/>
      <c r="M115" s="290"/>
    </row>
    <row r="116" spans="6:13" x14ac:dyDescent="0.3">
      <c r="F116" s="290"/>
      <c r="G116" s="290"/>
      <c r="H116" s="290"/>
      <c r="I116" s="290"/>
      <c r="J116" s="290"/>
      <c r="K116" s="290"/>
      <c r="L116" s="290"/>
      <c r="M116" s="290"/>
    </row>
    <row r="117" spans="6:13" x14ac:dyDescent="0.3">
      <c r="F117" s="290"/>
      <c r="G117" s="290"/>
      <c r="H117" s="290"/>
      <c r="I117" s="290"/>
      <c r="J117" s="290"/>
      <c r="K117" s="290"/>
      <c r="L117" s="290"/>
      <c r="M117" s="290"/>
    </row>
    <row r="118" spans="6:13" x14ac:dyDescent="0.3">
      <c r="F118" s="290"/>
      <c r="G118" s="290"/>
      <c r="H118" s="290"/>
      <c r="I118" s="290"/>
      <c r="J118" s="290"/>
      <c r="K118" s="290"/>
      <c r="L118" s="290"/>
      <c r="M118" s="290"/>
    </row>
    <row r="119" spans="6:13" x14ac:dyDescent="0.3">
      <c r="F119" s="290"/>
      <c r="G119" s="290"/>
      <c r="H119" s="290"/>
      <c r="I119" s="290"/>
      <c r="J119" s="290"/>
      <c r="K119" s="290"/>
      <c r="L119" s="290"/>
      <c r="M119" s="290"/>
    </row>
    <row r="120" spans="6:13" x14ac:dyDescent="0.3">
      <c r="F120" s="290"/>
      <c r="G120" s="290"/>
      <c r="H120" s="290"/>
      <c r="I120" s="290"/>
      <c r="J120" s="290"/>
      <c r="K120" s="290"/>
      <c r="L120" s="290"/>
      <c r="M120" s="290"/>
    </row>
    <row r="121" spans="6:13" x14ac:dyDescent="0.3">
      <c r="F121" s="290"/>
      <c r="G121" s="290"/>
      <c r="H121" s="290"/>
      <c r="I121" s="290"/>
      <c r="J121" s="290"/>
      <c r="K121" s="290"/>
      <c r="L121" s="290"/>
      <c r="M121" s="290"/>
    </row>
    <row r="122" spans="6:13" x14ac:dyDescent="0.3">
      <c r="F122" s="290"/>
      <c r="G122" s="290"/>
      <c r="H122" s="290"/>
      <c r="I122" s="290"/>
      <c r="J122" s="290"/>
      <c r="K122" s="290"/>
      <c r="L122" s="290"/>
      <c r="M122" s="290"/>
    </row>
    <row r="123" spans="6:13" x14ac:dyDescent="0.3">
      <c r="F123" s="290"/>
      <c r="G123" s="290"/>
      <c r="H123" s="290"/>
      <c r="I123" s="290"/>
      <c r="J123" s="290"/>
      <c r="K123" s="290"/>
      <c r="L123" s="290"/>
      <c r="M123" s="290"/>
    </row>
    <row r="124" spans="6:13" x14ac:dyDescent="0.3">
      <c r="F124" s="290"/>
      <c r="G124" s="290"/>
      <c r="H124" s="290"/>
      <c r="I124" s="290"/>
      <c r="J124" s="290"/>
      <c r="K124" s="290"/>
      <c r="L124" s="290"/>
      <c r="M124" s="290"/>
    </row>
    <row r="125" spans="6:13" x14ac:dyDescent="0.3">
      <c r="F125" s="290"/>
      <c r="G125" s="290"/>
      <c r="H125" s="290"/>
      <c r="I125" s="290"/>
      <c r="J125" s="290"/>
      <c r="K125" s="290"/>
      <c r="L125" s="290"/>
      <c r="M125" s="290"/>
    </row>
    <row r="126" spans="6:13" x14ac:dyDescent="0.3">
      <c r="F126" s="290"/>
      <c r="G126" s="290"/>
      <c r="H126" s="290"/>
      <c r="I126" s="290"/>
      <c r="J126" s="290"/>
      <c r="K126" s="290"/>
      <c r="L126" s="290"/>
      <c r="M126" s="290"/>
    </row>
    <row r="127" spans="6:13" x14ac:dyDescent="0.3">
      <c r="F127" s="290"/>
      <c r="G127" s="290"/>
      <c r="H127" s="290"/>
      <c r="I127" s="290"/>
      <c r="J127" s="290"/>
      <c r="K127" s="290"/>
      <c r="L127" s="290"/>
      <c r="M127" s="290"/>
    </row>
    <row r="128" spans="6:13" x14ac:dyDescent="0.3">
      <c r="F128" s="290"/>
      <c r="G128" s="290"/>
      <c r="H128" s="290"/>
      <c r="I128" s="290"/>
      <c r="J128" s="290"/>
      <c r="K128" s="290"/>
      <c r="L128" s="290"/>
      <c r="M128" s="290"/>
    </row>
    <row r="129" spans="6:13" x14ac:dyDescent="0.3">
      <c r="F129" s="290"/>
      <c r="G129" s="290"/>
      <c r="H129" s="290"/>
      <c r="I129" s="290"/>
      <c r="J129" s="290"/>
      <c r="K129" s="290"/>
      <c r="L129" s="290"/>
      <c r="M129" s="290"/>
    </row>
    <row r="130" spans="6:13" x14ac:dyDescent="0.3">
      <c r="F130" s="290"/>
      <c r="G130" s="290"/>
      <c r="H130" s="290"/>
      <c r="I130" s="290"/>
      <c r="J130" s="290"/>
      <c r="K130" s="290"/>
      <c r="L130" s="290"/>
      <c r="M130" s="290"/>
    </row>
    <row r="131" spans="6:13" x14ac:dyDescent="0.3">
      <c r="F131" s="290"/>
      <c r="G131" s="290"/>
      <c r="H131" s="290"/>
      <c r="I131" s="290"/>
      <c r="J131" s="290"/>
      <c r="K131" s="290"/>
      <c r="L131" s="290"/>
      <c r="M131" s="290"/>
    </row>
    <row r="132" spans="6:13" x14ac:dyDescent="0.3">
      <c r="F132" s="290"/>
      <c r="G132" s="290"/>
      <c r="H132" s="290"/>
      <c r="I132" s="290"/>
      <c r="J132" s="290"/>
      <c r="K132" s="290"/>
      <c r="L132" s="290"/>
      <c r="M132" s="290"/>
    </row>
    <row r="133" spans="6:13" x14ac:dyDescent="0.3">
      <c r="F133" s="290"/>
      <c r="G133" s="290"/>
      <c r="H133" s="290"/>
      <c r="I133" s="290"/>
      <c r="J133" s="290"/>
      <c r="K133" s="290"/>
      <c r="L133" s="290"/>
      <c r="M133" s="290"/>
    </row>
    <row r="134" spans="6:13" x14ac:dyDescent="0.3">
      <c r="F134" s="290"/>
      <c r="G134" s="290"/>
      <c r="H134" s="290"/>
      <c r="I134" s="290"/>
      <c r="J134" s="290"/>
      <c r="K134" s="290"/>
      <c r="L134" s="290"/>
      <c r="M134" s="290"/>
    </row>
    <row r="135" spans="6:13" x14ac:dyDescent="0.3">
      <c r="F135" s="290"/>
      <c r="G135" s="290"/>
      <c r="H135" s="290"/>
      <c r="I135" s="290"/>
      <c r="J135" s="290"/>
      <c r="K135" s="290"/>
      <c r="L135" s="290"/>
      <c r="M135" s="290"/>
    </row>
    <row r="136" spans="6:13" x14ac:dyDescent="0.3">
      <c r="F136" s="290"/>
      <c r="G136" s="290"/>
      <c r="H136" s="290"/>
      <c r="I136" s="290"/>
      <c r="J136" s="290"/>
      <c r="K136" s="290"/>
      <c r="L136" s="290"/>
      <c r="M136" s="290"/>
    </row>
    <row r="137" spans="6:13" x14ac:dyDescent="0.3">
      <c r="F137" s="290"/>
      <c r="G137" s="290"/>
      <c r="H137" s="290"/>
      <c r="I137" s="290"/>
      <c r="J137" s="290"/>
      <c r="K137" s="290"/>
      <c r="L137" s="290"/>
      <c r="M137" s="290"/>
    </row>
    <row r="138" spans="6:13" x14ac:dyDescent="0.3">
      <c r="F138" s="290"/>
      <c r="G138" s="290"/>
      <c r="H138" s="290"/>
      <c r="I138" s="290"/>
      <c r="J138" s="290"/>
      <c r="K138" s="290"/>
      <c r="L138" s="290"/>
      <c r="M138" s="290"/>
    </row>
    <row r="139" spans="6:13" x14ac:dyDescent="0.3">
      <c r="F139" s="290"/>
      <c r="G139" s="290"/>
      <c r="H139" s="290"/>
      <c r="I139" s="290"/>
      <c r="J139" s="290"/>
      <c r="K139" s="290"/>
      <c r="L139" s="290"/>
      <c r="M139" s="290"/>
    </row>
    <row r="140" spans="6:13" x14ac:dyDescent="0.3">
      <c r="F140" s="290"/>
      <c r="G140" s="290"/>
      <c r="H140" s="290"/>
      <c r="I140" s="290"/>
      <c r="J140" s="290"/>
      <c r="K140" s="290"/>
      <c r="L140" s="290"/>
      <c r="M140" s="290"/>
    </row>
    <row r="141" spans="6:13" x14ac:dyDescent="0.3">
      <c r="F141" s="290"/>
      <c r="G141" s="290"/>
      <c r="H141" s="290"/>
      <c r="I141" s="290"/>
      <c r="J141" s="290"/>
      <c r="K141" s="290"/>
      <c r="L141" s="290"/>
      <c r="M141" s="290"/>
    </row>
    <row r="142" spans="6:13" x14ac:dyDescent="0.3">
      <c r="F142" s="290"/>
      <c r="G142" s="290"/>
      <c r="H142" s="290"/>
      <c r="I142" s="290"/>
      <c r="J142" s="290"/>
      <c r="K142" s="290"/>
      <c r="L142" s="290"/>
      <c r="M142" s="290"/>
    </row>
    <row r="143" spans="6:13" x14ac:dyDescent="0.3">
      <c r="F143" s="290"/>
      <c r="G143" s="290"/>
      <c r="H143" s="290"/>
      <c r="I143" s="290"/>
      <c r="J143" s="290"/>
      <c r="K143" s="290"/>
      <c r="L143" s="290"/>
      <c r="M143" s="290"/>
    </row>
    <row r="144" spans="6:13" x14ac:dyDescent="0.3">
      <c r="F144" s="290"/>
      <c r="G144" s="290"/>
      <c r="H144" s="290"/>
      <c r="I144" s="290"/>
      <c r="J144" s="290"/>
      <c r="K144" s="290"/>
      <c r="L144" s="290"/>
      <c r="M144" s="290"/>
    </row>
    <row r="145" spans="6:13" x14ac:dyDescent="0.3">
      <c r="F145" s="290"/>
      <c r="G145" s="290"/>
      <c r="H145" s="290"/>
      <c r="I145" s="290"/>
      <c r="J145" s="290"/>
      <c r="K145" s="290"/>
      <c r="L145" s="290"/>
      <c r="M145" s="290"/>
    </row>
  </sheetData>
  <mergeCells count="6">
    <mergeCell ref="A9:E9"/>
    <mergeCell ref="A1:M1"/>
    <mergeCell ref="A3:M3"/>
    <mergeCell ref="A2:M2"/>
    <mergeCell ref="A5:M5"/>
    <mergeCell ref="A8:E8"/>
  </mergeCells>
  <pageMargins left="0.39370078740157483" right="0.39370078740157483" top="0.59055118110236227" bottom="0.39370078740157483" header="0.31496062992125984" footer="0.31496062992125984"/>
  <pageSetup paperSize="9" scale="54" firstPageNumber="11" orientation="landscape" useFirstPageNumber="1" r:id="rId1"/>
  <headerFooter>
    <oddFooter>&amp;R&amp;14 11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570D-67B8-4C91-87A0-8151730342BA}">
  <sheetPr>
    <pageSetUpPr fitToPage="1"/>
  </sheetPr>
  <dimension ref="A1:L154"/>
  <sheetViews>
    <sheetView view="pageBreakPreview" zoomScaleNormal="100" zoomScaleSheetLayoutView="100" workbookViewId="0">
      <selection activeCell="J14" sqref="J14"/>
    </sheetView>
  </sheetViews>
  <sheetFormatPr defaultRowHeight="20.25" x14ac:dyDescent="0.3"/>
  <cols>
    <col min="1" max="1" width="7.7109375" style="89" customWidth="1"/>
    <col min="2" max="2" width="75.7109375" style="89" customWidth="1"/>
    <col min="3" max="7" width="20.7109375" style="89" customWidth="1"/>
    <col min="8" max="10" width="15.7109375" style="89" customWidth="1"/>
    <col min="11" max="11" width="9.140625" style="89"/>
    <col min="12" max="12" width="145.140625" style="89" customWidth="1"/>
    <col min="13" max="16384" width="9.140625" style="89"/>
  </cols>
  <sheetData>
    <row r="1" spans="1:12" ht="22.5" x14ac:dyDescent="0.3">
      <c r="A1" s="457" t="s">
        <v>1010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2" x14ac:dyDescent="0.3">
      <c r="A2" s="455"/>
      <c r="B2" s="455"/>
      <c r="C2" s="455"/>
      <c r="D2" s="455"/>
      <c r="E2" s="455"/>
      <c r="F2" s="455"/>
      <c r="G2" s="455"/>
      <c r="H2" s="455"/>
      <c r="I2" s="455"/>
      <c r="J2" s="455"/>
    </row>
    <row r="3" spans="1:12" ht="18.75" customHeight="1" x14ac:dyDescent="0.3">
      <c r="A3" s="457" t="s">
        <v>1069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2" x14ac:dyDescent="0.3">
      <c r="A4" s="462"/>
      <c r="B4" s="462"/>
      <c r="C4" s="462"/>
      <c r="D4" s="462"/>
      <c r="E4" s="462"/>
      <c r="F4" s="462"/>
      <c r="G4" s="462"/>
      <c r="H4" s="462"/>
      <c r="I4" s="462"/>
      <c r="J4" s="462"/>
    </row>
    <row r="5" spans="1:12" ht="22.5" x14ac:dyDescent="0.3">
      <c r="A5" s="457" t="s">
        <v>1071</v>
      </c>
      <c r="B5" s="457"/>
      <c r="C5" s="457"/>
      <c r="D5" s="457"/>
      <c r="E5" s="457"/>
      <c r="F5" s="457"/>
      <c r="G5" s="457"/>
      <c r="H5" s="457"/>
      <c r="I5" s="457"/>
      <c r="J5" s="457"/>
    </row>
    <row r="6" spans="1:12" ht="22.5" x14ac:dyDescent="0.3">
      <c r="A6" s="288"/>
      <c r="B6" s="288"/>
      <c r="C6" s="288"/>
      <c r="D6" s="288"/>
      <c r="E6" s="288"/>
      <c r="F6" s="288"/>
      <c r="G6" s="288"/>
      <c r="H6" s="288"/>
      <c r="I6" s="288"/>
      <c r="J6" s="288"/>
    </row>
    <row r="7" spans="1:12" x14ac:dyDescent="0.3">
      <c r="A7" s="137" t="s">
        <v>1086</v>
      </c>
    </row>
    <row r="8" spans="1:12" ht="60.75" x14ac:dyDescent="0.3">
      <c r="A8" s="461" t="s">
        <v>1039</v>
      </c>
      <c r="B8" s="461"/>
      <c r="C8" s="276" t="s">
        <v>1014</v>
      </c>
      <c r="D8" s="276" t="s">
        <v>1015</v>
      </c>
      <c r="E8" s="276" t="s">
        <v>1013</v>
      </c>
      <c r="F8" s="276" t="s">
        <v>979</v>
      </c>
      <c r="G8" s="276" t="s">
        <v>1112</v>
      </c>
      <c r="H8" s="277" t="s">
        <v>1011</v>
      </c>
      <c r="I8" s="277" t="s">
        <v>1009</v>
      </c>
      <c r="J8" s="277" t="s">
        <v>1012</v>
      </c>
    </row>
    <row r="9" spans="1:12" x14ac:dyDescent="0.3">
      <c r="A9" s="458">
        <v>1</v>
      </c>
      <c r="B9" s="458"/>
      <c r="C9" s="295">
        <v>2</v>
      </c>
      <c r="D9" s="296">
        <v>3</v>
      </c>
      <c r="E9" s="295">
        <v>4</v>
      </c>
      <c r="F9" s="295">
        <v>5</v>
      </c>
      <c r="G9" s="295">
        <v>6</v>
      </c>
      <c r="H9" s="295"/>
      <c r="I9" s="295"/>
      <c r="J9" s="295"/>
    </row>
    <row r="10" spans="1:12" s="322" customFormat="1" x14ac:dyDescent="0.3">
      <c r="A10" s="320"/>
      <c r="B10" s="321" t="s">
        <v>1062</v>
      </c>
      <c r="C10" s="328">
        <f>SUM(C11+C13+C15+C17+C19+C21)</f>
        <v>3373.35</v>
      </c>
      <c r="D10" s="328">
        <f>SUM(D11+D13+D15+D17+D19+D21)</f>
        <v>8096.04</v>
      </c>
      <c r="E10" s="328">
        <f>SUM(E11+E13+E15+E17+E19+E21)</f>
        <v>8000</v>
      </c>
      <c r="F10" s="328">
        <f>SUM(F11+F13+F15+F17+F19+F21)</f>
        <v>8000</v>
      </c>
      <c r="G10" s="328">
        <f>SUM(G11+G13+G15+G17+G19+G21)</f>
        <v>8096.04</v>
      </c>
      <c r="H10" s="329">
        <f>IFERROR(SUM(G10/C10),0)</f>
        <v>2.4</v>
      </c>
      <c r="I10" s="329">
        <f>IFERROR(SUM(G10/D10),0)</f>
        <v>1</v>
      </c>
      <c r="J10" s="329">
        <f t="shared" ref="J10:J22" si="0">IFERROR(SUM(G10/F10),0)</f>
        <v>1.012005</v>
      </c>
    </row>
    <row r="11" spans="1:12" s="322" customFormat="1" x14ac:dyDescent="0.3">
      <c r="A11" s="320">
        <v>1</v>
      </c>
      <c r="B11" s="323" t="s">
        <v>531</v>
      </c>
      <c r="C11" s="328">
        <f>SUM(C12)</f>
        <v>0</v>
      </c>
      <c r="D11" s="328">
        <f>SUM(D12)</f>
        <v>0</v>
      </c>
      <c r="E11" s="328">
        <f>SUM(E12)</f>
        <v>0</v>
      </c>
      <c r="F11" s="328">
        <f>SUM(F12)</f>
        <v>0</v>
      </c>
      <c r="G11" s="328">
        <f>SUM(G12)</f>
        <v>0</v>
      </c>
      <c r="H11" s="329">
        <f>IFERROR(SUM(G11/C11),0)</f>
        <v>0</v>
      </c>
      <c r="I11" s="329">
        <f>IFERROR(SUM(G11/D11),0)</f>
        <v>0</v>
      </c>
      <c r="J11" s="329">
        <f t="shared" si="0"/>
        <v>0</v>
      </c>
    </row>
    <row r="12" spans="1:12" x14ac:dyDescent="0.3">
      <c r="A12" s="298">
        <v>11</v>
      </c>
      <c r="B12" s="298" t="s">
        <v>531</v>
      </c>
      <c r="C12" s="330">
        <v>0</v>
      </c>
      <c r="D12" s="330">
        <v>0</v>
      </c>
      <c r="E12" s="330">
        <v>0</v>
      </c>
      <c r="F12" s="330">
        <v>0</v>
      </c>
      <c r="G12" s="330">
        <v>0</v>
      </c>
      <c r="H12" s="331">
        <f>IFERROR(SUM(G12/C12),0)</f>
        <v>0</v>
      </c>
      <c r="I12" s="331">
        <f>IFERROR(SUM(G12/D12),0)</f>
        <v>0</v>
      </c>
      <c r="J12" s="331">
        <f t="shared" si="0"/>
        <v>0</v>
      </c>
    </row>
    <row r="13" spans="1:12" s="273" customFormat="1" x14ac:dyDescent="0.3">
      <c r="A13" s="324">
        <v>2</v>
      </c>
      <c r="B13" s="280" t="s">
        <v>532</v>
      </c>
      <c r="C13" s="332">
        <f>SUM(C14)</f>
        <v>3373.35</v>
      </c>
      <c r="D13" s="332">
        <f>SUM(D14)</f>
        <v>8096.04</v>
      </c>
      <c r="E13" s="332">
        <f>SUM(E14)</f>
        <v>8000</v>
      </c>
      <c r="F13" s="332">
        <f>SUM(F14)</f>
        <v>8000</v>
      </c>
      <c r="G13" s="332">
        <f>SUM(G14)</f>
        <v>8096.04</v>
      </c>
      <c r="H13" s="329">
        <f t="shared" ref="H13:H22" si="1">IFERROR(SUM(G13/C13),0)</f>
        <v>2.4</v>
      </c>
      <c r="I13" s="329">
        <f t="shared" ref="I13:I22" si="2">IFERROR(SUM(G13/D13),0)</f>
        <v>1</v>
      </c>
      <c r="J13" s="329">
        <f t="shared" si="0"/>
        <v>1.012005</v>
      </c>
    </row>
    <row r="14" spans="1:12" x14ac:dyDescent="0.3">
      <c r="A14" s="298">
        <v>21</v>
      </c>
      <c r="B14" s="298" t="s">
        <v>532</v>
      </c>
      <c r="C14" s="330">
        <f>SUM('PRIHODI ZA VIJEĆE '!D86)</f>
        <v>3373.35</v>
      </c>
      <c r="D14" s="330">
        <f>SUM('PRIHODI ZA VIJEĆE '!E86)</f>
        <v>8096.04</v>
      </c>
      <c r="E14" s="330">
        <f>SUM('PRIHODI ZA VIJEĆE '!F86)</f>
        <v>8000</v>
      </c>
      <c r="F14" s="330">
        <f>SUM('PRIHODI ZA VIJEĆE '!G86)</f>
        <v>8000</v>
      </c>
      <c r="G14" s="330">
        <f>SUM('PRIHODI ZA VIJEĆE '!H86)</f>
        <v>8096.04</v>
      </c>
      <c r="H14" s="331">
        <f t="shared" si="1"/>
        <v>2.4</v>
      </c>
      <c r="I14" s="331">
        <f t="shared" si="2"/>
        <v>1</v>
      </c>
      <c r="J14" s="331">
        <f t="shared" si="0"/>
        <v>1.012005</v>
      </c>
    </row>
    <row r="15" spans="1:12" s="273" customFormat="1" x14ac:dyDescent="0.3">
      <c r="A15" s="324">
        <v>3</v>
      </c>
      <c r="B15" s="280" t="s">
        <v>533</v>
      </c>
      <c r="C15" s="332">
        <f>SUM(C16)</f>
        <v>0</v>
      </c>
      <c r="D15" s="332">
        <f>SUM(D16)</f>
        <v>0</v>
      </c>
      <c r="E15" s="332">
        <f>SUM(E16)</f>
        <v>0</v>
      </c>
      <c r="F15" s="332">
        <f>SUM(F16)</f>
        <v>0</v>
      </c>
      <c r="G15" s="332">
        <f>SUM(G16)</f>
        <v>0</v>
      </c>
      <c r="H15" s="329">
        <f t="shared" si="1"/>
        <v>0</v>
      </c>
      <c r="I15" s="329">
        <f t="shared" si="2"/>
        <v>0</v>
      </c>
      <c r="J15" s="329">
        <f t="shared" si="0"/>
        <v>0</v>
      </c>
    </row>
    <row r="16" spans="1:12" x14ac:dyDescent="0.3">
      <c r="A16" s="298">
        <v>31</v>
      </c>
      <c r="B16" s="298" t="s">
        <v>533</v>
      </c>
      <c r="C16" s="330">
        <v>0</v>
      </c>
      <c r="D16" s="330">
        <v>0</v>
      </c>
      <c r="E16" s="330">
        <v>0</v>
      </c>
      <c r="F16" s="330">
        <v>0</v>
      </c>
      <c r="G16" s="330">
        <v>0</v>
      </c>
      <c r="H16" s="331">
        <f t="shared" si="1"/>
        <v>0</v>
      </c>
      <c r="I16" s="331">
        <f t="shared" si="2"/>
        <v>0</v>
      </c>
      <c r="J16" s="331">
        <f t="shared" si="0"/>
        <v>0</v>
      </c>
      <c r="L16" s="317"/>
    </row>
    <row r="17" spans="1:12" s="273" customFormat="1" x14ac:dyDescent="0.3">
      <c r="A17" s="324">
        <v>4</v>
      </c>
      <c r="B17" s="280" t="s">
        <v>534</v>
      </c>
      <c r="C17" s="332">
        <f>SUM(C18)</f>
        <v>0</v>
      </c>
      <c r="D17" s="332">
        <f>SUM(D18)</f>
        <v>0</v>
      </c>
      <c r="E17" s="332">
        <f>SUM(E18)</f>
        <v>0</v>
      </c>
      <c r="F17" s="332">
        <f>SUM(F18)</f>
        <v>0</v>
      </c>
      <c r="G17" s="332">
        <f>SUM(G18)</f>
        <v>0</v>
      </c>
      <c r="H17" s="329">
        <f t="shared" si="1"/>
        <v>0</v>
      </c>
      <c r="I17" s="329">
        <f t="shared" si="2"/>
        <v>0</v>
      </c>
      <c r="J17" s="329">
        <f t="shared" si="0"/>
        <v>0</v>
      </c>
      <c r="L17" s="325"/>
    </row>
    <row r="18" spans="1:12" x14ac:dyDescent="0.3">
      <c r="A18" s="298">
        <v>41</v>
      </c>
      <c r="B18" s="298" t="s">
        <v>534</v>
      </c>
      <c r="C18" s="330">
        <v>0</v>
      </c>
      <c r="D18" s="330">
        <v>0</v>
      </c>
      <c r="E18" s="330">
        <v>0</v>
      </c>
      <c r="F18" s="330">
        <v>0</v>
      </c>
      <c r="G18" s="330">
        <v>0</v>
      </c>
      <c r="H18" s="331">
        <f t="shared" si="1"/>
        <v>0</v>
      </c>
      <c r="I18" s="331">
        <f t="shared" si="2"/>
        <v>0</v>
      </c>
      <c r="J18" s="331">
        <f t="shared" si="0"/>
        <v>0</v>
      </c>
      <c r="L18" s="318"/>
    </row>
    <row r="19" spans="1:12" s="273" customFormat="1" x14ac:dyDescent="0.3">
      <c r="A19" s="324">
        <v>5</v>
      </c>
      <c r="B19" s="280" t="s">
        <v>535</v>
      </c>
      <c r="C19" s="332">
        <f>SUM(C20)</f>
        <v>0</v>
      </c>
      <c r="D19" s="332">
        <f>SUM(D20)</f>
        <v>0</v>
      </c>
      <c r="E19" s="332">
        <f>SUM(E20)</f>
        <v>0</v>
      </c>
      <c r="F19" s="332">
        <f>SUM(F20)</f>
        <v>0</v>
      </c>
      <c r="G19" s="332">
        <f>SUM(G20)</f>
        <v>0</v>
      </c>
      <c r="H19" s="329">
        <f t="shared" si="1"/>
        <v>0</v>
      </c>
      <c r="I19" s="329">
        <f t="shared" si="2"/>
        <v>0</v>
      </c>
      <c r="J19" s="329">
        <f t="shared" si="0"/>
        <v>0</v>
      </c>
      <c r="L19" s="326"/>
    </row>
    <row r="20" spans="1:12" x14ac:dyDescent="0.3">
      <c r="A20" s="298">
        <v>51</v>
      </c>
      <c r="B20" s="298" t="s">
        <v>535</v>
      </c>
      <c r="C20" s="330">
        <v>0</v>
      </c>
      <c r="D20" s="330">
        <v>0</v>
      </c>
      <c r="E20" s="330">
        <v>0</v>
      </c>
      <c r="F20" s="330">
        <v>0</v>
      </c>
      <c r="G20" s="330">
        <v>0</v>
      </c>
      <c r="H20" s="331">
        <f t="shared" si="1"/>
        <v>0</v>
      </c>
      <c r="I20" s="331">
        <f t="shared" si="2"/>
        <v>0</v>
      </c>
      <c r="J20" s="331">
        <f t="shared" si="0"/>
        <v>0</v>
      </c>
      <c r="L20" s="318"/>
    </row>
    <row r="21" spans="1:12" s="273" customFormat="1" x14ac:dyDescent="0.3">
      <c r="A21" s="324">
        <v>6</v>
      </c>
      <c r="B21" s="280" t="s">
        <v>560</v>
      </c>
      <c r="C21" s="332">
        <f>SUM(C22)</f>
        <v>0</v>
      </c>
      <c r="D21" s="332">
        <f>SUM(D22)</f>
        <v>0</v>
      </c>
      <c r="E21" s="332">
        <f>SUM(E22)</f>
        <v>0</v>
      </c>
      <c r="F21" s="332">
        <f>SUM(F22)</f>
        <v>0</v>
      </c>
      <c r="G21" s="332">
        <f>SUM(G22)</f>
        <v>0</v>
      </c>
      <c r="H21" s="329">
        <f t="shared" si="1"/>
        <v>0</v>
      </c>
      <c r="I21" s="329">
        <f t="shared" si="2"/>
        <v>0</v>
      </c>
      <c r="J21" s="329">
        <f t="shared" si="0"/>
        <v>0</v>
      </c>
      <c r="L21" s="326"/>
    </row>
    <row r="22" spans="1:12" x14ac:dyDescent="0.3">
      <c r="A22" s="298">
        <v>61</v>
      </c>
      <c r="B22" s="298" t="s">
        <v>560</v>
      </c>
      <c r="C22" s="330">
        <v>0</v>
      </c>
      <c r="D22" s="330">
        <v>0</v>
      </c>
      <c r="E22" s="330">
        <v>0</v>
      </c>
      <c r="F22" s="330">
        <v>0</v>
      </c>
      <c r="G22" s="330">
        <v>0</v>
      </c>
      <c r="H22" s="331">
        <f t="shared" si="1"/>
        <v>0</v>
      </c>
      <c r="I22" s="331">
        <f t="shared" si="2"/>
        <v>0</v>
      </c>
      <c r="J22" s="331">
        <f t="shared" si="0"/>
        <v>0</v>
      </c>
      <c r="L22" s="318"/>
    </row>
    <row r="23" spans="1:12" x14ac:dyDescent="0.3">
      <c r="C23" s="290"/>
      <c r="D23" s="290"/>
      <c r="E23" s="290"/>
      <c r="F23" s="290"/>
      <c r="G23" s="290"/>
      <c r="H23" s="290"/>
      <c r="I23" s="290"/>
      <c r="J23" s="290"/>
      <c r="L23" s="318"/>
    </row>
    <row r="24" spans="1:12" x14ac:dyDescent="0.3">
      <c r="C24" s="290"/>
      <c r="D24" s="290"/>
      <c r="E24" s="290"/>
      <c r="F24" s="290"/>
      <c r="G24" s="290"/>
      <c r="H24" s="290"/>
      <c r="I24" s="290"/>
      <c r="J24" s="290"/>
      <c r="L24" s="318"/>
    </row>
    <row r="25" spans="1:12" x14ac:dyDescent="0.3">
      <c r="C25" s="290"/>
      <c r="D25" s="290"/>
      <c r="E25" s="290"/>
      <c r="F25" s="290"/>
      <c r="G25" s="290"/>
      <c r="H25" s="290"/>
      <c r="I25" s="290"/>
      <c r="J25" s="290"/>
      <c r="L25" s="318"/>
    </row>
    <row r="26" spans="1:12" s="273" customFormat="1" x14ac:dyDescent="0.3">
      <c r="A26" s="89"/>
      <c r="B26" s="89"/>
      <c r="C26" s="290"/>
      <c r="D26" s="290"/>
      <c r="E26" s="290"/>
      <c r="F26" s="290"/>
      <c r="G26" s="290"/>
      <c r="H26" s="290"/>
      <c r="I26" s="290"/>
      <c r="J26" s="290"/>
      <c r="L26" s="326"/>
    </row>
    <row r="27" spans="1:12" s="273" customFormat="1" x14ac:dyDescent="0.3">
      <c r="A27" s="89"/>
      <c r="B27" s="89"/>
      <c r="C27" s="290"/>
      <c r="D27" s="290"/>
      <c r="E27" s="290"/>
      <c r="F27" s="290"/>
      <c r="G27" s="290"/>
      <c r="H27" s="290"/>
      <c r="I27" s="290"/>
      <c r="J27" s="290"/>
      <c r="L27" s="326"/>
    </row>
    <row r="28" spans="1:12" x14ac:dyDescent="0.3">
      <c r="C28" s="290"/>
      <c r="D28" s="290"/>
      <c r="E28" s="290"/>
      <c r="F28" s="290"/>
      <c r="G28" s="290"/>
      <c r="H28" s="290"/>
      <c r="I28" s="290"/>
      <c r="J28" s="290"/>
      <c r="L28" s="318"/>
    </row>
    <row r="29" spans="1:12" s="273" customFormat="1" x14ac:dyDescent="0.3">
      <c r="A29" s="89"/>
      <c r="B29" s="89"/>
      <c r="C29" s="290"/>
      <c r="D29" s="290"/>
      <c r="E29" s="290"/>
      <c r="F29" s="290"/>
      <c r="G29" s="290"/>
      <c r="H29" s="290"/>
      <c r="I29" s="290"/>
      <c r="J29" s="290"/>
      <c r="L29" s="326"/>
    </row>
    <row r="30" spans="1:12" x14ac:dyDescent="0.3">
      <c r="C30" s="290"/>
      <c r="D30" s="290"/>
      <c r="E30" s="290"/>
      <c r="F30" s="290"/>
      <c r="G30" s="290"/>
      <c r="H30" s="290"/>
      <c r="I30" s="290"/>
      <c r="J30" s="290"/>
      <c r="L30" s="318"/>
    </row>
    <row r="31" spans="1:12" s="273" customFormat="1" x14ac:dyDescent="0.3">
      <c r="A31" s="89"/>
      <c r="B31" s="89"/>
      <c r="C31" s="290"/>
      <c r="D31" s="290"/>
      <c r="E31" s="290"/>
      <c r="F31" s="290"/>
      <c r="G31" s="290"/>
      <c r="H31" s="290"/>
      <c r="I31" s="290"/>
      <c r="J31" s="290"/>
      <c r="L31" s="326"/>
    </row>
    <row r="32" spans="1:12" x14ac:dyDescent="0.3">
      <c r="C32" s="290"/>
      <c r="D32" s="290"/>
      <c r="E32" s="290"/>
      <c r="F32" s="290"/>
      <c r="G32" s="290"/>
      <c r="H32" s="290"/>
      <c r="I32" s="290"/>
      <c r="J32" s="290"/>
      <c r="L32" s="318"/>
    </row>
    <row r="33" spans="1:12" s="273" customFormat="1" x14ac:dyDescent="0.3">
      <c r="A33" s="89"/>
      <c r="B33" s="89"/>
      <c r="C33" s="290"/>
      <c r="D33" s="290"/>
      <c r="E33" s="290"/>
      <c r="F33" s="290"/>
      <c r="G33" s="290"/>
      <c r="H33" s="290"/>
      <c r="I33" s="290"/>
      <c r="J33" s="290"/>
      <c r="L33" s="326"/>
    </row>
    <row r="34" spans="1:12" x14ac:dyDescent="0.3">
      <c r="C34" s="290"/>
      <c r="D34" s="290"/>
      <c r="E34" s="290"/>
      <c r="F34" s="290"/>
      <c r="G34" s="290"/>
      <c r="H34" s="290"/>
      <c r="I34" s="290"/>
      <c r="J34" s="290"/>
      <c r="L34" s="318"/>
    </row>
    <row r="35" spans="1:12" s="273" customFormat="1" x14ac:dyDescent="0.3">
      <c r="A35" s="89"/>
      <c r="B35" s="89"/>
      <c r="C35" s="290"/>
      <c r="D35" s="290"/>
      <c r="E35" s="290"/>
      <c r="F35" s="290"/>
      <c r="G35" s="290"/>
      <c r="H35" s="290"/>
      <c r="I35" s="290"/>
      <c r="J35" s="290"/>
      <c r="L35" s="326"/>
    </row>
    <row r="36" spans="1:12" x14ac:dyDescent="0.3">
      <c r="C36" s="290"/>
      <c r="D36" s="290"/>
      <c r="E36" s="290"/>
      <c r="F36" s="290"/>
      <c r="G36" s="290"/>
      <c r="H36" s="290"/>
      <c r="I36" s="290"/>
      <c r="J36" s="290"/>
      <c r="L36" s="318"/>
    </row>
    <row r="37" spans="1:12" s="273" customFormat="1" x14ac:dyDescent="0.3">
      <c r="A37" s="89"/>
      <c r="B37" s="89"/>
      <c r="C37" s="290"/>
      <c r="D37" s="290"/>
      <c r="E37" s="290"/>
      <c r="F37" s="290"/>
      <c r="G37" s="290"/>
      <c r="H37" s="290"/>
      <c r="I37" s="290"/>
      <c r="J37" s="290"/>
      <c r="L37" s="326"/>
    </row>
    <row r="38" spans="1:12" x14ac:dyDescent="0.3">
      <c r="C38" s="290"/>
      <c r="D38" s="290"/>
      <c r="E38" s="290"/>
      <c r="F38" s="290"/>
      <c r="G38" s="290"/>
      <c r="H38" s="290"/>
      <c r="I38" s="290"/>
      <c r="J38" s="290"/>
      <c r="L38" s="318"/>
    </row>
    <row r="39" spans="1:12" x14ac:dyDescent="0.3">
      <c r="C39" s="290"/>
      <c r="D39" s="290"/>
      <c r="E39" s="290"/>
      <c r="F39" s="290"/>
      <c r="G39" s="290"/>
      <c r="H39" s="290"/>
      <c r="I39" s="290"/>
      <c r="J39" s="290"/>
      <c r="L39" s="319"/>
    </row>
    <row r="40" spans="1:12" x14ac:dyDescent="0.3">
      <c r="C40" s="290"/>
      <c r="D40" s="290"/>
      <c r="E40" s="290"/>
      <c r="F40" s="290"/>
      <c r="G40" s="290"/>
      <c r="H40" s="290"/>
      <c r="I40" s="290"/>
      <c r="J40" s="290"/>
      <c r="L40" s="318"/>
    </row>
    <row r="41" spans="1:12" x14ac:dyDescent="0.3">
      <c r="C41" s="290"/>
      <c r="D41" s="290"/>
      <c r="E41" s="290"/>
      <c r="F41" s="290"/>
      <c r="G41" s="290"/>
      <c r="H41" s="290"/>
      <c r="I41" s="290"/>
      <c r="J41" s="290"/>
    </row>
    <row r="42" spans="1:12" x14ac:dyDescent="0.3">
      <c r="C42" s="290"/>
      <c r="D42" s="290"/>
      <c r="E42" s="290"/>
      <c r="F42" s="290"/>
      <c r="G42" s="290"/>
      <c r="H42" s="290"/>
      <c r="I42" s="290"/>
      <c r="J42" s="290"/>
    </row>
    <row r="43" spans="1:12" x14ac:dyDescent="0.3">
      <c r="C43" s="290"/>
      <c r="D43" s="290"/>
      <c r="E43" s="290"/>
      <c r="F43" s="290"/>
      <c r="G43" s="290"/>
      <c r="H43" s="290"/>
      <c r="I43" s="290"/>
      <c r="J43" s="290"/>
    </row>
    <row r="44" spans="1:12" x14ac:dyDescent="0.3">
      <c r="C44" s="290"/>
      <c r="D44" s="290"/>
      <c r="E44" s="290"/>
      <c r="F44" s="290"/>
      <c r="G44" s="290"/>
      <c r="H44" s="290"/>
      <c r="I44" s="290"/>
      <c r="J44" s="290"/>
    </row>
    <row r="45" spans="1:12" x14ac:dyDescent="0.3">
      <c r="C45" s="290"/>
      <c r="D45" s="290"/>
      <c r="E45" s="290"/>
      <c r="F45" s="290"/>
      <c r="G45" s="290"/>
      <c r="H45" s="290"/>
      <c r="I45" s="290"/>
      <c r="J45" s="290"/>
    </row>
    <row r="46" spans="1:12" x14ac:dyDescent="0.3">
      <c r="C46" s="290"/>
      <c r="D46" s="290"/>
      <c r="E46" s="290"/>
      <c r="F46" s="290"/>
      <c r="G46" s="290"/>
      <c r="H46" s="290"/>
      <c r="I46" s="290"/>
      <c r="J46" s="290"/>
    </row>
    <row r="47" spans="1:12" x14ac:dyDescent="0.3">
      <c r="C47" s="290"/>
      <c r="D47" s="290"/>
      <c r="E47" s="290"/>
      <c r="F47" s="290"/>
      <c r="G47" s="290"/>
      <c r="H47" s="290"/>
      <c r="I47" s="290"/>
      <c r="J47" s="290"/>
    </row>
    <row r="48" spans="1:12" x14ac:dyDescent="0.3">
      <c r="C48" s="290"/>
      <c r="D48" s="290"/>
      <c r="E48" s="290"/>
      <c r="F48" s="290"/>
      <c r="G48" s="290"/>
      <c r="H48" s="290"/>
      <c r="I48" s="290"/>
      <c r="J48" s="290"/>
    </row>
    <row r="49" spans="3:10" x14ac:dyDescent="0.3">
      <c r="C49" s="290"/>
      <c r="D49" s="290"/>
      <c r="E49" s="290"/>
      <c r="F49" s="290"/>
      <c r="G49" s="290"/>
      <c r="H49" s="290"/>
      <c r="I49" s="290"/>
      <c r="J49" s="290"/>
    </row>
    <row r="50" spans="3:10" x14ac:dyDescent="0.3">
      <c r="C50" s="290"/>
      <c r="D50" s="290"/>
      <c r="E50" s="290"/>
      <c r="F50" s="290"/>
      <c r="G50" s="290"/>
      <c r="H50" s="290"/>
      <c r="I50" s="290"/>
      <c r="J50" s="290"/>
    </row>
    <row r="51" spans="3:10" x14ac:dyDescent="0.3">
      <c r="C51" s="290"/>
      <c r="D51" s="290"/>
      <c r="E51" s="290"/>
      <c r="F51" s="290"/>
      <c r="G51" s="290"/>
      <c r="H51" s="290"/>
      <c r="I51" s="290"/>
      <c r="J51" s="290"/>
    </row>
    <row r="52" spans="3:10" x14ac:dyDescent="0.3">
      <c r="C52" s="290"/>
      <c r="D52" s="290"/>
      <c r="E52" s="290"/>
      <c r="F52" s="290"/>
      <c r="G52" s="290"/>
      <c r="H52" s="290"/>
      <c r="I52" s="290"/>
      <c r="J52" s="290"/>
    </row>
    <row r="53" spans="3:10" x14ac:dyDescent="0.3">
      <c r="C53" s="290"/>
      <c r="D53" s="290"/>
      <c r="E53" s="290"/>
      <c r="F53" s="290"/>
      <c r="G53" s="290"/>
      <c r="H53" s="290"/>
      <c r="I53" s="290"/>
      <c r="J53" s="290"/>
    </row>
    <row r="54" spans="3:10" x14ac:dyDescent="0.3">
      <c r="C54" s="290"/>
      <c r="D54" s="290"/>
      <c r="E54" s="290"/>
      <c r="F54" s="290"/>
      <c r="G54" s="290"/>
      <c r="H54" s="290"/>
      <c r="I54" s="290"/>
      <c r="J54" s="290"/>
    </row>
    <row r="55" spans="3:10" x14ac:dyDescent="0.3">
      <c r="C55" s="290"/>
      <c r="D55" s="290"/>
      <c r="E55" s="290"/>
      <c r="F55" s="290"/>
      <c r="G55" s="290"/>
      <c r="H55" s="290"/>
      <c r="I55" s="290"/>
      <c r="J55" s="290"/>
    </row>
    <row r="56" spans="3:10" x14ac:dyDescent="0.3">
      <c r="C56" s="290"/>
      <c r="D56" s="290"/>
      <c r="E56" s="290"/>
      <c r="F56" s="290"/>
      <c r="G56" s="290"/>
      <c r="H56" s="290"/>
      <c r="I56" s="290"/>
      <c r="J56" s="290"/>
    </row>
    <row r="57" spans="3:10" x14ac:dyDescent="0.3">
      <c r="C57" s="290"/>
      <c r="D57" s="290"/>
      <c r="E57" s="290"/>
      <c r="F57" s="290"/>
      <c r="G57" s="290"/>
      <c r="H57" s="290"/>
      <c r="I57" s="290"/>
      <c r="J57" s="290"/>
    </row>
    <row r="58" spans="3:10" x14ac:dyDescent="0.3">
      <c r="C58" s="290"/>
      <c r="D58" s="290"/>
      <c r="E58" s="290"/>
      <c r="F58" s="290"/>
      <c r="G58" s="290"/>
      <c r="H58" s="290"/>
      <c r="I58" s="290"/>
      <c r="J58" s="290"/>
    </row>
    <row r="59" spans="3:10" x14ac:dyDescent="0.3">
      <c r="C59" s="290"/>
      <c r="D59" s="290"/>
      <c r="E59" s="290"/>
      <c r="F59" s="290"/>
      <c r="G59" s="290"/>
      <c r="H59" s="290"/>
      <c r="I59" s="290"/>
      <c r="J59" s="290"/>
    </row>
    <row r="60" spans="3:10" x14ac:dyDescent="0.3">
      <c r="C60" s="290"/>
      <c r="D60" s="290"/>
      <c r="E60" s="290"/>
      <c r="F60" s="290"/>
      <c r="G60" s="290"/>
      <c r="H60" s="290"/>
      <c r="I60" s="290"/>
      <c r="J60" s="290"/>
    </row>
    <row r="61" spans="3:10" x14ac:dyDescent="0.3">
      <c r="C61" s="290"/>
      <c r="D61" s="290"/>
      <c r="E61" s="290"/>
      <c r="F61" s="290"/>
      <c r="G61" s="290"/>
      <c r="H61" s="290"/>
      <c r="I61" s="290"/>
      <c r="J61" s="290"/>
    </row>
    <row r="62" spans="3:10" x14ac:dyDescent="0.3">
      <c r="C62" s="290"/>
      <c r="D62" s="290"/>
      <c r="E62" s="290"/>
      <c r="F62" s="290"/>
      <c r="G62" s="290"/>
      <c r="H62" s="290"/>
      <c r="I62" s="290"/>
      <c r="J62" s="290"/>
    </row>
    <row r="63" spans="3:10" x14ac:dyDescent="0.3">
      <c r="C63" s="290"/>
      <c r="D63" s="290"/>
      <c r="E63" s="290"/>
      <c r="F63" s="290"/>
      <c r="G63" s="290"/>
      <c r="H63" s="290"/>
      <c r="I63" s="290"/>
      <c r="J63" s="290"/>
    </row>
    <row r="64" spans="3:10" x14ac:dyDescent="0.3">
      <c r="C64" s="290"/>
      <c r="D64" s="290"/>
      <c r="E64" s="290"/>
      <c r="F64" s="290"/>
      <c r="G64" s="290"/>
      <c r="H64" s="290"/>
      <c r="I64" s="290"/>
      <c r="J64" s="290"/>
    </row>
    <row r="65" spans="3:10" x14ac:dyDescent="0.3">
      <c r="C65" s="290"/>
      <c r="D65" s="290"/>
      <c r="E65" s="290"/>
      <c r="F65" s="290"/>
      <c r="G65" s="290"/>
      <c r="H65" s="290"/>
      <c r="I65" s="290"/>
      <c r="J65" s="290"/>
    </row>
    <row r="66" spans="3:10" x14ac:dyDescent="0.3">
      <c r="C66" s="290"/>
      <c r="D66" s="290"/>
      <c r="E66" s="290"/>
      <c r="F66" s="290"/>
      <c r="G66" s="290"/>
      <c r="H66" s="290"/>
      <c r="I66" s="290"/>
      <c r="J66" s="290"/>
    </row>
    <row r="67" spans="3:10" x14ac:dyDescent="0.3">
      <c r="C67" s="290"/>
      <c r="D67" s="290"/>
      <c r="E67" s="290"/>
      <c r="F67" s="290"/>
      <c r="G67" s="290"/>
      <c r="H67" s="290"/>
      <c r="I67" s="290"/>
      <c r="J67" s="290"/>
    </row>
    <row r="68" spans="3:10" x14ac:dyDescent="0.3">
      <c r="C68" s="290"/>
      <c r="D68" s="290"/>
      <c r="E68" s="290"/>
      <c r="F68" s="290"/>
      <c r="G68" s="290"/>
      <c r="H68" s="290"/>
      <c r="I68" s="290"/>
      <c r="J68" s="290"/>
    </row>
    <row r="69" spans="3:10" x14ac:dyDescent="0.3">
      <c r="C69" s="290"/>
      <c r="D69" s="290"/>
      <c r="E69" s="290"/>
      <c r="F69" s="290"/>
      <c r="G69" s="290"/>
      <c r="H69" s="290"/>
      <c r="I69" s="290"/>
      <c r="J69" s="290"/>
    </row>
    <row r="70" spans="3:10" x14ac:dyDescent="0.3">
      <c r="C70" s="290"/>
      <c r="D70" s="290"/>
      <c r="E70" s="290"/>
      <c r="F70" s="290"/>
      <c r="G70" s="290"/>
      <c r="H70" s="290"/>
      <c r="I70" s="290"/>
      <c r="J70" s="290"/>
    </row>
    <row r="71" spans="3:10" x14ac:dyDescent="0.3">
      <c r="C71" s="290"/>
      <c r="D71" s="290"/>
      <c r="E71" s="290"/>
      <c r="F71" s="290"/>
      <c r="G71" s="290"/>
      <c r="H71" s="290"/>
      <c r="I71" s="290"/>
      <c r="J71" s="290"/>
    </row>
    <row r="72" spans="3:10" x14ac:dyDescent="0.3">
      <c r="C72" s="290"/>
      <c r="D72" s="290"/>
      <c r="E72" s="290"/>
      <c r="F72" s="290"/>
      <c r="G72" s="290"/>
      <c r="H72" s="290"/>
      <c r="I72" s="290"/>
      <c r="J72" s="290"/>
    </row>
    <row r="73" spans="3:10" x14ac:dyDescent="0.3">
      <c r="C73" s="290"/>
      <c r="D73" s="290"/>
      <c r="E73" s="290"/>
      <c r="F73" s="290"/>
      <c r="G73" s="290"/>
      <c r="H73" s="290"/>
      <c r="I73" s="290"/>
      <c r="J73" s="290"/>
    </row>
    <row r="74" spans="3:10" x14ac:dyDescent="0.3">
      <c r="C74" s="290"/>
      <c r="D74" s="290"/>
      <c r="E74" s="290"/>
      <c r="F74" s="290"/>
      <c r="G74" s="290"/>
      <c r="H74" s="290"/>
      <c r="I74" s="290"/>
      <c r="J74" s="290"/>
    </row>
    <row r="75" spans="3:10" x14ac:dyDescent="0.3">
      <c r="C75" s="290"/>
      <c r="D75" s="290"/>
      <c r="E75" s="290"/>
      <c r="F75" s="290"/>
      <c r="G75" s="290"/>
      <c r="H75" s="290"/>
      <c r="I75" s="290"/>
      <c r="J75" s="290"/>
    </row>
    <row r="76" spans="3:10" x14ac:dyDescent="0.3">
      <c r="C76" s="290"/>
      <c r="D76" s="290"/>
      <c r="E76" s="290"/>
      <c r="F76" s="290"/>
      <c r="G76" s="290"/>
      <c r="H76" s="290"/>
      <c r="I76" s="290"/>
      <c r="J76" s="290"/>
    </row>
    <row r="77" spans="3:10" x14ac:dyDescent="0.3">
      <c r="C77" s="290"/>
      <c r="D77" s="290"/>
      <c r="E77" s="290"/>
      <c r="F77" s="290"/>
      <c r="G77" s="290"/>
      <c r="H77" s="290"/>
      <c r="I77" s="290"/>
      <c r="J77" s="290"/>
    </row>
    <row r="78" spans="3:10" x14ac:dyDescent="0.3">
      <c r="C78" s="290"/>
      <c r="D78" s="290"/>
      <c r="E78" s="290"/>
      <c r="F78" s="290"/>
      <c r="G78" s="290"/>
      <c r="H78" s="290"/>
      <c r="I78" s="290"/>
      <c r="J78" s="290"/>
    </row>
    <row r="79" spans="3:10" x14ac:dyDescent="0.3">
      <c r="C79" s="290"/>
      <c r="D79" s="290"/>
      <c r="E79" s="290"/>
      <c r="F79" s="290"/>
      <c r="G79" s="290"/>
      <c r="H79" s="290"/>
      <c r="I79" s="290"/>
      <c r="J79" s="290"/>
    </row>
    <row r="80" spans="3:10" x14ac:dyDescent="0.3">
      <c r="C80" s="290"/>
      <c r="D80" s="290"/>
      <c r="E80" s="290"/>
      <c r="F80" s="290"/>
      <c r="G80" s="290"/>
      <c r="H80" s="290"/>
      <c r="I80" s="290"/>
      <c r="J80" s="290"/>
    </row>
    <row r="81" spans="3:10" x14ac:dyDescent="0.3">
      <c r="C81" s="290"/>
      <c r="D81" s="290"/>
      <c r="E81" s="290"/>
      <c r="F81" s="290"/>
      <c r="G81" s="290"/>
      <c r="H81" s="290"/>
      <c r="I81" s="290"/>
      <c r="J81" s="290"/>
    </row>
    <row r="82" spans="3:10" x14ac:dyDescent="0.3">
      <c r="C82" s="290"/>
      <c r="D82" s="290"/>
      <c r="E82" s="290"/>
      <c r="F82" s="290"/>
      <c r="G82" s="290"/>
      <c r="H82" s="290"/>
      <c r="I82" s="290"/>
      <c r="J82" s="290"/>
    </row>
    <row r="83" spans="3:10" x14ac:dyDescent="0.3">
      <c r="C83" s="290"/>
      <c r="D83" s="290"/>
      <c r="E83" s="290"/>
      <c r="F83" s="290"/>
      <c r="G83" s="290"/>
      <c r="H83" s="290"/>
      <c r="I83" s="290"/>
      <c r="J83" s="290"/>
    </row>
    <row r="84" spans="3:10" x14ac:dyDescent="0.3">
      <c r="C84" s="290"/>
      <c r="D84" s="290"/>
      <c r="E84" s="290"/>
      <c r="F84" s="290"/>
      <c r="G84" s="290"/>
      <c r="H84" s="290"/>
      <c r="I84" s="290"/>
      <c r="J84" s="290"/>
    </row>
    <row r="85" spans="3:10" x14ac:dyDescent="0.3">
      <c r="C85" s="290"/>
      <c r="D85" s="290"/>
      <c r="E85" s="290"/>
      <c r="F85" s="290"/>
      <c r="G85" s="290"/>
      <c r="H85" s="290"/>
      <c r="I85" s="290"/>
      <c r="J85" s="290"/>
    </row>
    <row r="86" spans="3:10" x14ac:dyDescent="0.3">
      <c r="C86" s="290"/>
      <c r="D86" s="290"/>
      <c r="E86" s="290"/>
      <c r="F86" s="290"/>
      <c r="G86" s="290"/>
      <c r="H86" s="290"/>
      <c r="I86" s="290"/>
      <c r="J86" s="290"/>
    </row>
    <row r="87" spans="3:10" x14ac:dyDescent="0.3">
      <c r="C87" s="290"/>
      <c r="D87" s="290"/>
      <c r="E87" s="290"/>
      <c r="F87" s="290"/>
      <c r="G87" s="290"/>
      <c r="H87" s="290"/>
      <c r="I87" s="290"/>
      <c r="J87" s="290"/>
    </row>
    <row r="88" spans="3:10" x14ac:dyDescent="0.3">
      <c r="C88" s="290"/>
      <c r="D88" s="290"/>
      <c r="E88" s="290"/>
      <c r="F88" s="290"/>
      <c r="G88" s="290"/>
      <c r="H88" s="290"/>
      <c r="I88" s="290"/>
      <c r="J88" s="290"/>
    </row>
    <row r="89" spans="3:10" x14ac:dyDescent="0.3">
      <c r="C89" s="290"/>
      <c r="D89" s="290"/>
      <c r="E89" s="290"/>
      <c r="F89" s="290"/>
      <c r="G89" s="290"/>
      <c r="H89" s="290"/>
      <c r="I89" s="290"/>
      <c r="J89" s="290"/>
    </row>
    <row r="90" spans="3:10" x14ac:dyDescent="0.3">
      <c r="C90" s="290"/>
      <c r="D90" s="290"/>
      <c r="E90" s="290"/>
      <c r="F90" s="290"/>
      <c r="G90" s="290"/>
      <c r="H90" s="290"/>
      <c r="I90" s="290"/>
      <c r="J90" s="290"/>
    </row>
    <row r="91" spans="3:10" x14ac:dyDescent="0.3">
      <c r="C91" s="290"/>
      <c r="D91" s="290"/>
      <c r="E91" s="290"/>
      <c r="F91" s="290"/>
      <c r="G91" s="290"/>
      <c r="H91" s="290"/>
      <c r="I91" s="290"/>
      <c r="J91" s="290"/>
    </row>
    <row r="92" spans="3:10" x14ac:dyDescent="0.3">
      <c r="C92" s="290"/>
      <c r="D92" s="290"/>
      <c r="E92" s="290"/>
      <c r="F92" s="290"/>
      <c r="G92" s="290"/>
      <c r="H92" s="290"/>
      <c r="I92" s="290"/>
      <c r="J92" s="290"/>
    </row>
    <row r="93" spans="3:10" x14ac:dyDescent="0.3">
      <c r="C93" s="290"/>
      <c r="D93" s="290"/>
      <c r="E93" s="290"/>
      <c r="F93" s="290"/>
      <c r="G93" s="290"/>
      <c r="H93" s="290"/>
      <c r="I93" s="290"/>
      <c r="J93" s="290"/>
    </row>
    <row r="94" spans="3:10" x14ac:dyDescent="0.3">
      <c r="C94" s="290"/>
      <c r="D94" s="290"/>
      <c r="E94" s="290"/>
      <c r="F94" s="290"/>
      <c r="G94" s="290"/>
      <c r="H94" s="290"/>
      <c r="I94" s="290"/>
      <c r="J94" s="290"/>
    </row>
    <row r="95" spans="3:10" x14ac:dyDescent="0.3">
      <c r="C95" s="290"/>
      <c r="D95" s="290"/>
      <c r="E95" s="290"/>
      <c r="F95" s="290"/>
      <c r="G95" s="290"/>
      <c r="H95" s="290"/>
      <c r="I95" s="290"/>
      <c r="J95" s="290"/>
    </row>
    <row r="96" spans="3:10" x14ac:dyDescent="0.3">
      <c r="C96" s="290"/>
      <c r="D96" s="290"/>
      <c r="E96" s="290"/>
      <c r="F96" s="290"/>
      <c r="G96" s="290"/>
      <c r="H96" s="290"/>
      <c r="I96" s="290"/>
      <c r="J96" s="290"/>
    </row>
    <row r="97" spans="3:10" x14ac:dyDescent="0.3">
      <c r="C97" s="290"/>
      <c r="D97" s="290"/>
      <c r="E97" s="290"/>
      <c r="F97" s="290"/>
      <c r="G97" s="290"/>
      <c r="H97" s="290"/>
      <c r="I97" s="290"/>
      <c r="J97" s="290"/>
    </row>
    <row r="98" spans="3:10" x14ac:dyDescent="0.3">
      <c r="C98" s="290"/>
      <c r="D98" s="290"/>
      <c r="E98" s="290"/>
      <c r="F98" s="290"/>
      <c r="G98" s="290"/>
      <c r="H98" s="290"/>
      <c r="I98" s="290"/>
      <c r="J98" s="290"/>
    </row>
    <row r="99" spans="3:10" x14ac:dyDescent="0.3">
      <c r="C99" s="290"/>
      <c r="D99" s="290"/>
      <c r="E99" s="290"/>
      <c r="F99" s="290"/>
      <c r="G99" s="290"/>
      <c r="H99" s="290"/>
      <c r="I99" s="290"/>
      <c r="J99" s="290"/>
    </row>
    <row r="100" spans="3:10" x14ac:dyDescent="0.3">
      <c r="C100" s="290"/>
      <c r="D100" s="290"/>
      <c r="E100" s="290"/>
      <c r="F100" s="290"/>
      <c r="G100" s="290"/>
      <c r="H100" s="290"/>
      <c r="I100" s="290"/>
      <c r="J100" s="290"/>
    </row>
    <row r="101" spans="3:10" x14ac:dyDescent="0.3">
      <c r="C101" s="290"/>
      <c r="D101" s="290"/>
      <c r="E101" s="290"/>
      <c r="F101" s="290"/>
      <c r="G101" s="290"/>
      <c r="H101" s="290"/>
      <c r="I101" s="290"/>
      <c r="J101" s="290"/>
    </row>
    <row r="102" spans="3:10" x14ac:dyDescent="0.3">
      <c r="C102" s="290"/>
      <c r="D102" s="290"/>
      <c r="E102" s="290"/>
      <c r="F102" s="290"/>
      <c r="G102" s="290"/>
      <c r="H102" s="290"/>
      <c r="I102" s="290"/>
      <c r="J102" s="290"/>
    </row>
    <row r="103" spans="3:10" x14ac:dyDescent="0.3">
      <c r="C103" s="290"/>
      <c r="D103" s="290"/>
      <c r="E103" s="290"/>
      <c r="F103" s="290"/>
      <c r="G103" s="290"/>
      <c r="H103" s="290"/>
      <c r="I103" s="290"/>
      <c r="J103" s="290"/>
    </row>
    <row r="104" spans="3:10" x14ac:dyDescent="0.3">
      <c r="C104" s="290"/>
      <c r="D104" s="290"/>
      <c r="E104" s="290"/>
      <c r="F104" s="290"/>
      <c r="G104" s="290"/>
      <c r="H104" s="290"/>
      <c r="I104" s="290"/>
      <c r="J104" s="290"/>
    </row>
    <row r="105" spans="3:10" x14ac:dyDescent="0.3">
      <c r="C105" s="290"/>
      <c r="D105" s="290"/>
      <c r="E105" s="290"/>
      <c r="F105" s="290"/>
      <c r="G105" s="290"/>
      <c r="H105" s="290"/>
      <c r="I105" s="290"/>
      <c r="J105" s="290"/>
    </row>
    <row r="106" spans="3:10" x14ac:dyDescent="0.3">
      <c r="C106" s="290"/>
      <c r="D106" s="290"/>
      <c r="E106" s="290"/>
      <c r="F106" s="290"/>
      <c r="G106" s="290"/>
      <c r="H106" s="290"/>
      <c r="I106" s="290"/>
      <c r="J106" s="290"/>
    </row>
    <row r="107" spans="3:10" x14ac:dyDescent="0.3">
      <c r="C107" s="290"/>
      <c r="D107" s="290"/>
      <c r="E107" s="290"/>
      <c r="F107" s="290"/>
      <c r="G107" s="290"/>
      <c r="H107" s="290"/>
      <c r="I107" s="290"/>
      <c r="J107" s="290"/>
    </row>
    <row r="108" spans="3:10" x14ac:dyDescent="0.3">
      <c r="C108" s="290"/>
      <c r="D108" s="290"/>
      <c r="E108" s="290"/>
      <c r="F108" s="290"/>
      <c r="G108" s="290"/>
      <c r="H108" s="290"/>
      <c r="I108" s="290"/>
      <c r="J108" s="290"/>
    </row>
    <row r="109" spans="3:10" x14ac:dyDescent="0.3">
      <c r="C109" s="290"/>
      <c r="D109" s="290"/>
      <c r="E109" s="290"/>
      <c r="F109" s="290"/>
      <c r="G109" s="290"/>
      <c r="H109" s="290"/>
      <c r="I109" s="290"/>
      <c r="J109" s="290"/>
    </row>
    <row r="110" spans="3:10" x14ac:dyDescent="0.3">
      <c r="C110" s="290"/>
      <c r="D110" s="290"/>
      <c r="E110" s="290"/>
      <c r="F110" s="290"/>
      <c r="G110" s="290"/>
      <c r="H110" s="290"/>
      <c r="I110" s="290"/>
      <c r="J110" s="290"/>
    </row>
    <row r="111" spans="3:10" x14ac:dyDescent="0.3">
      <c r="C111" s="290"/>
      <c r="D111" s="290"/>
      <c r="E111" s="290"/>
      <c r="F111" s="290"/>
      <c r="G111" s="290"/>
      <c r="H111" s="290"/>
      <c r="I111" s="290"/>
      <c r="J111" s="290"/>
    </row>
    <row r="112" spans="3:10" x14ac:dyDescent="0.3">
      <c r="C112" s="290"/>
      <c r="D112" s="290"/>
      <c r="E112" s="290"/>
      <c r="F112" s="290"/>
      <c r="G112" s="290"/>
      <c r="H112" s="290"/>
      <c r="I112" s="290"/>
      <c r="J112" s="290"/>
    </row>
    <row r="113" spans="3:10" x14ac:dyDescent="0.3">
      <c r="C113" s="290"/>
      <c r="D113" s="290"/>
      <c r="E113" s="290"/>
      <c r="F113" s="290"/>
      <c r="G113" s="290"/>
      <c r="H113" s="290"/>
      <c r="I113" s="290"/>
      <c r="J113" s="290"/>
    </row>
    <row r="114" spans="3:10" x14ac:dyDescent="0.3">
      <c r="C114" s="290"/>
      <c r="D114" s="290"/>
      <c r="E114" s="290"/>
      <c r="F114" s="290"/>
      <c r="G114" s="290"/>
      <c r="H114" s="290"/>
      <c r="I114" s="290"/>
      <c r="J114" s="290"/>
    </row>
    <row r="115" spans="3:10" x14ac:dyDescent="0.3">
      <c r="C115" s="290"/>
      <c r="D115" s="290"/>
      <c r="E115" s="290"/>
      <c r="F115" s="290"/>
      <c r="G115" s="290"/>
      <c r="H115" s="290"/>
      <c r="I115" s="290"/>
      <c r="J115" s="290"/>
    </row>
    <row r="116" spans="3:10" x14ac:dyDescent="0.3">
      <c r="C116" s="290"/>
      <c r="D116" s="290"/>
      <c r="E116" s="290"/>
      <c r="F116" s="290"/>
      <c r="G116" s="290"/>
      <c r="H116" s="290"/>
      <c r="I116" s="290"/>
      <c r="J116" s="290"/>
    </row>
    <row r="117" spans="3:10" x14ac:dyDescent="0.3">
      <c r="C117" s="290"/>
      <c r="D117" s="290"/>
      <c r="E117" s="290"/>
      <c r="F117" s="290"/>
      <c r="G117" s="290"/>
      <c r="H117" s="290"/>
      <c r="I117" s="290"/>
      <c r="J117" s="290"/>
    </row>
    <row r="118" spans="3:10" x14ac:dyDescent="0.3">
      <c r="C118" s="290"/>
      <c r="D118" s="290"/>
      <c r="E118" s="290"/>
      <c r="F118" s="290"/>
      <c r="G118" s="290"/>
      <c r="H118" s="290"/>
      <c r="I118" s="290"/>
      <c r="J118" s="290"/>
    </row>
    <row r="119" spans="3:10" x14ac:dyDescent="0.3">
      <c r="C119" s="290"/>
      <c r="D119" s="290"/>
      <c r="E119" s="290"/>
      <c r="F119" s="290"/>
      <c r="G119" s="290"/>
      <c r="H119" s="290"/>
      <c r="I119" s="290"/>
      <c r="J119" s="290"/>
    </row>
    <row r="120" spans="3:10" x14ac:dyDescent="0.3">
      <c r="C120" s="290"/>
      <c r="D120" s="290"/>
      <c r="E120" s="290"/>
      <c r="F120" s="290"/>
      <c r="G120" s="290"/>
      <c r="H120" s="290"/>
      <c r="I120" s="290"/>
      <c r="J120" s="290"/>
    </row>
    <row r="121" spans="3:10" x14ac:dyDescent="0.3">
      <c r="C121" s="290"/>
      <c r="D121" s="290"/>
      <c r="E121" s="290"/>
      <c r="F121" s="290"/>
      <c r="G121" s="290"/>
      <c r="H121" s="290"/>
      <c r="I121" s="290"/>
      <c r="J121" s="290"/>
    </row>
    <row r="122" spans="3:10" x14ac:dyDescent="0.3">
      <c r="C122" s="290"/>
      <c r="D122" s="290"/>
      <c r="E122" s="290"/>
      <c r="F122" s="290"/>
      <c r="G122" s="290"/>
      <c r="H122" s="290"/>
      <c r="I122" s="290"/>
      <c r="J122" s="290"/>
    </row>
    <row r="123" spans="3:10" x14ac:dyDescent="0.3">
      <c r="C123" s="290"/>
      <c r="D123" s="290"/>
      <c r="E123" s="290"/>
      <c r="F123" s="290"/>
      <c r="G123" s="290"/>
      <c r="H123" s="290"/>
      <c r="I123" s="290"/>
      <c r="J123" s="290"/>
    </row>
    <row r="124" spans="3:10" x14ac:dyDescent="0.3">
      <c r="C124" s="290"/>
      <c r="D124" s="290"/>
      <c r="E124" s="290"/>
      <c r="F124" s="290"/>
      <c r="G124" s="290"/>
      <c r="H124" s="290"/>
      <c r="I124" s="290"/>
      <c r="J124" s="290"/>
    </row>
    <row r="125" spans="3:10" x14ac:dyDescent="0.3">
      <c r="C125" s="290"/>
      <c r="D125" s="290"/>
      <c r="E125" s="290"/>
      <c r="F125" s="290"/>
      <c r="G125" s="290"/>
      <c r="H125" s="290"/>
      <c r="I125" s="290"/>
      <c r="J125" s="290"/>
    </row>
    <row r="126" spans="3:10" x14ac:dyDescent="0.3">
      <c r="C126" s="290"/>
      <c r="D126" s="290"/>
      <c r="E126" s="290"/>
      <c r="F126" s="290"/>
      <c r="G126" s="290"/>
      <c r="H126" s="290"/>
      <c r="I126" s="290"/>
      <c r="J126" s="290"/>
    </row>
    <row r="127" spans="3:10" x14ac:dyDescent="0.3">
      <c r="C127" s="290"/>
      <c r="D127" s="290"/>
      <c r="E127" s="290"/>
      <c r="F127" s="290"/>
      <c r="G127" s="290"/>
      <c r="H127" s="290"/>
      <c r="I127" s="290"/>
      <c r="J127" s="290"/>
    </row>
    <row r="128" spans="3:10" x14ac:dyDescent="0.3">
      <c r="C128" s="290"/>
      <c r="D128" s="290"/>
      <c r="E128" s="290"/>
      <c r="F128" s="290"/>
      <c r="G128" s="290"/>
      <c r="H128" s="290"/>
      <c r="I128" s="290"/>
      <c r="J128" s="290"/>
    </row>
    <row r="129" spans="3:10" x14ac:dyDescent="0.3">
      <c r="C129" s="290"/>
      <c r="D129" s="290"/>
      <c r="E129" s="290"/>
      <c r="F129" s="290"/>
      <c r="G129" s="290"/>
      <c r="H129" s="290"/>
      <c r="I129" s="290"/>
      <c r="J129" s="290"/>
    </row>
    <row r="130" spans="3:10" x14ac:dyDescent="0.3">
      <c r="C130" s="290"/>
      <c r="D130" s="290"/>
      <c r="E130" s="290"/>
      <c r="F130" s="290"/>
      <c r="G130" s="290"/>
      <c r="H130" s="290"/>
      <c r="I130" s="290"/>
      <c r="J130" s="290"/>
    </row>
    <row r="131" spans="3:10" x14ac:dyDescent="0.3">
      <c r="C131" s="290"/>
      <c r="D131" s="290"/>
      <c r="E131" s="290"/>
      <c r="F131" s="290"/>
      <c r="G131" s="290"/>
      <c r="H131" s="290"/>
      <c r="I131" s="290"/>
      <c r="J131" s="290"/>
    </row>
    <row r="132" spans="3:10" x14ac:dyDescent="0.3">
      <c r="C132" s="290"/>
      <c r="D132" s="290"/>
      <c r="E132" s="290"/>
      <c r="F132" s="290"/>
      <c r="G132" s="290"/>
      <c r="H132" s="290"/>
      <c r="I132" s="290"/>
      <c r="J132" s="290"/>
    </row>
    <row r="133" spans="3:10" x14ac:dyDescent="0.3">
      <c r="C133" s="290"/>
      <c r="D133" s="290"/>
      <c r="E133" s="290"/>
      <c r="F133" s="290"/>
      <c r="G133" s="290"/>
      <c r="H133" s="290"/>
      <c r="I133" s="290"/>
      <c r="J133" s="290"/>
    </row>
    <row r="134" spans="3:10" x14ac:dyDescent="0.3">
      <c r="C134" s="290"/>
      <c r="D134" s="290"/>
      <c r="E134" s="290"/>
      <c r="F134" s="290"/>
      <c r="G134" s="290"/>
      <c r="H134" s="290"/>
      <c r="I134" s="290"/>
      <c r="J134" s="290"/>
    </row>
    <row r="135" spans="3:10" x14ac:dyDescent="0.3">
      <c r="C135" s="290"/>
      <c r="D135" s="290"/>
      <c r="E135" s="290"/>
      <c r="F135" s="290"/>
      <c r="G135" s="290"/>
      <c r="H135" s="290"/>
      <c r="I135" s="290"/>
      <c r="J135" s="290"/>
    </row>
    <row r="136" spans="3:10" x14ac:dyDescent="0.3">
      <c r="C136" s="290"/>
      <c r="D136" s="290"/>
      <c r="E136" s="290"/>
      <c r="F136" s="290"/>
      <c r="G136" s="290"/>
      <c r="H136" s="290"/>
      <c r="I136" s="290"/>
      <c r="J136" s="290"/>
    </row>
    <row r="137" spans="3:10" x14ac:dyDescent="0.3">
      <c r="C137" s="290"/>
      <c r="D137" s="290"/>
      <c r="E137" s="290"/>
      <c r="F137" s="290"/>
      <c r="G137" s="290"/>
      <c r="H137" s="290"/>
      <c r="I137" s="290"/>
      <c r="J137" s="290"/>
    </row>
    <row r="138" spans="3:10" x14ac:dyDescent="0.3">
      <c r="C138" s="290"/>
      <c r="D138" s="290"/>
      <c r="E138" s="290"/>
      <c r="F138" s="290"/>
      <c r="G138" s="290"/>
      <c r="H138" s="290"/>
      <c r="I138" s="290"/>
      <c r="J138" s="290"/>
    </row>
    <row r="139" spans="3:10" x14ac:dyDescent="0.3">
      <c r="C139" s="290"/>
      <c r="D139" s="290"/>
      <c r="E139" s="290"/>
      <c r="F139" s="290"/>
      <c r="G139" s="290"/>
      <c r="H139" s="290"/>
      <c r="I139" s="290"/>
      <c r="J139" s="290"/>
    </row>
    <row r="140" spans="3:10" x14ac:dyDescent="0.3">
      <c r="C140" s="290"/>
      <c r="D140" s="290"/>
      <c r="E140" s="290"/>
      <c r="F140" s="290"/>
      <c r="G140" s="290"/>
      <c r="H140" s="290"/>
      <c r="I140" s="290"/>
      <c r="J140" s="290"/>
    </row>
    <row r="141" spans="3:10" x14ac:dyDescent="0.3">
      <c r="C141" s="290"/>
      <c r="D141" s="290"/>
      <c r="E141" s="290"/>
      <c r="F141" s="290"/>
      <c r="G141" s="290"/>
      <c r="H141" s="290"/>
      <c r="I141" s="290"/>
      <c r="J141" s="290"/>
    </row>
    <row r="142" spans="3:10" x14ac:dyDescent="0.3">
      <c r="C142" s="290"/>
      <c r="D142" s="290"/>
      <c r="E142" s="290"/>
      <c r="F142" s="290"/>
      <c r="G142" s="290"/>
      <c r="H142" s="290"/>
      <c r="I142" s="290"/>
      <c r="J142" s="290"/>
    </row>
    <row r="143" spans="3:10" x14ac:dyDescent="0.3">
      <c r="C143" s="290"/>
      <c r="D143" s="290"/>
      <c r="E143" s="290"/>
      <c r="F143" s="290"/>
      <c r="G143" s="290"/>
      <c r="H143" s="290"/>
      <c r="I143" s="290"/>
      <c r="J143" s="290"/>
    </row>
    <row r="144" spans="3:10" x14ac:dyDescent="0.3">
      <c r="C144" s="290"/>
      <c r="D144" s="290"/>
      <c r="E144" s="290"/>
      <c r="F144" s="290"/>
      <c r="G144" s="290"/>
      <c r="H144" s="290"/>
      <c r="I144" s="290"/>
      <c r="J144" s="290"/>
    </row>
    <row r="145" spans="3:10" x14ac:dyDescent="0.3">
      <c r="C145" s="290"/>
      <c r="D145" s="290"/>
      <c r="E145" s="290"/>
      <c r="F145" s="290"/>
      <c r="G145" s="290"/>
      <c r="H145" s="290"/>
      <c r="I145" s="290"/>
      <c r="J145" s="290"/>
    </row>
    <row r="146" spans="3:10" x14ac:dyDescent="0.3">
      <c r="C146" s="290"/>
      <c r="D146" s="290"/>
      <c r="E146" s="290"/>
      <c r="F146" s="290"/>
      <c r="G146" s="290"/>
      <c r="H146" s="290"/>
      <c r="I146" s="290"/>
      <c r="J146" s="290"/>
    </row>
    <row r="147" spans="3:10" x14ac:dyDescent="0.3">
      <c r="C147" s="290"/>
      <c r="D147" s="290"/>
      <c r="E147" s="290"/>
      <c r="F147" s="290"/>
      <c r="G147" s="290"/>
      <c r="H147" s="290"/>
      <c r="I147" s="290"/>
      <c r="J147" s="290"/>
    </row>
    <row r="148" spans="3:10" x14ac:dyDescent="0.3">
      <c r="C148" s="290"/>
      <c r="D148" s="290"/>
      <c r="E148" s="290"/>
      <c r="F148" s="290"/>
      <c r="G148" s="290"/>
      <c r="H148" s="290"/>
      <c r="I148" s="290"/>
      <c r="J148" s="290"/>
    </row>
    <row r="149" spans="3:10" x14ac:dyDescent="0.3">
      <c r="C149" s="290"/>
      <c r="D149" s="290"/>
      <c r="E149" s="290"/>
      <c r="F149" s="290"/>
      <c r="G149" s="290"/>
      <c r="H149" s="290"/>
      <c r="I149" s="290"/>
      <c r="J149" s="290"/>
    </row>
    <row r="150" spans="3:10" x14ac:dyDescent="0.3">
      <c r="C150" s="290"/>
      <c r="D150" s="290"/>
      <c r="E150" s="290"/>
      <c r="F150" s="290"/>
      <c r="G150" s="290"/>
      <c r="H150" s="290"/>
      <c r="I150" s="290"/>
      <c r="J150" s="290"/>
    </row>
    <row r="151" spans="3:10" x14ac:dyDescent="0.3">
      <c r="C151" s="290"/>
      <c r="D151" s="290"/>
      <c r="E151" s="290"/>
      <c r="F151" s="290"/>
      <c r="G151" s="290"/>
      <c r="H151" s="290"/>
      <c r="I151" s="290"/>
      <c r="J151" s="290"/>
    </row>
    <row r="152" spans="3:10" x14ac:dyDescent="0.3">
      <c r="C152" s="290"/>
      <c r="D152" s="290"/>
      <c r="E152" s="290"/>
      <c r="F152" s="290"/>
      <c r="G152" s="290"/>
      <c r="H152" s="290"/>
      <c r="I152" s="290"/>
      <c r="J152" s="290"/>
    </row>
    <row r="153" spans="3:10" x14ac:dyDescent="0.3">
      <c r="C153" s="290"/>
      <c r="D153" s="290"/>
      <c r="E153" s="290"/>
      <c r="F153" s="290"/>
      <c r="G153" s="290"/>
      <c r="H153" s="290"/>
      <c r="I153" s="290"/>
      <c r="J153" s="290"/>
    </row>
    <row r="154" spans="3:10" x14ac:dyDescent="0.3">
      <c r="C154" s="290"/>
      <c r="D154" s="290"/>
      <c r="E154" s="290"/>
      <c r="F154" s="290"/>
      <c r="G154" s="290"/>
      <c r="H154" s="290"/>
      <c r="I154" s="290"/>
      <c r="J154" s="290"/>
    </row>
  </sheetData>
  <mergeCells count="7">
    <mergeCell ref="A9:B9"/>
    <mergeCell ref="A1:J1"/>
    <mergeCell ref="A2:J2"/>
    <mergeCell ref="A3:J3"/>
    <mergeCell ref="A4:J4"/>
    <mergeCell ref="A5:J5"/>
    <mergeCell ref="A8:B8"/>
  </mergeCells>
  <pageMargins left="0.39370078740157483" right="0.39370078740157483" top="0.59055118110236227" bottom="0.39370078740157483" header="0.31496062992125984" footer="0.31496062992125984"/>
  <pageSetup paperSize="9" scale="59" firstPageNumber="12" fitToHeight="0" orientation="landscape" useFirstPageNumber="1" r:id="rId1"/>
  <headerFooter>
    <oddFooter>&amp;R&amp;14&amp;P</oddFooter>
  </headerFooter>
  <colBreaks count="1" manualBreakCount="1">
    <brk id="11" min="11" max="2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1">
    <pageSetUpPr fitToPage="1"/>
  </sheetPr>
  <dimension ref="A1:K144"/>
  <sheetViews>
    <sheetView view="pageBreakPreview" zoomScaleNormal="100" zoomScaleSheetLayoutView="100" workbookViewId="0">
      <selection activeCell="E11" sqref="E11"/>
    </sheetView>
  </sheetViews>
  <sheetFormatPr defaultRowHeight="20.25" x14ac:dyDescent="0.3"/>
  <cols>
    <col min="1" max="1" width="7.7109375" style="89" customWidth="1"/>
    <col min="2" max="2" width="75.7109375" style="89" customWidth="1"/>
    <col min="3" max="7" width="20.7109375" style="89" customWidth="1"/>
    <col min="8" max="10" width="15.7109375" style="89" customWidth="1"/>
    <col min="11" max="16384" width="9.140625" style="89"/>
  </cols>
  <sheetData>
    <row r="1" spans="1:11" x14ac:dyDescent="0.3">
      <c r="A1" s="454" t="s">
        <v>1087</v>
      </c>
      <c r="B1" s="454"/>
      <c r="C1" s="454"/>
      <c r="D1" s="454"/>
      <c r="E1" s="454"/>
      <c r="F1" s="454"/>
      <c r="G1" s="454"/>
      <c r="H1" s="454"/>
      <c r="I1" s="454"/>
      <c r="J1" s="454"/>
    </row>
    <row r="2" spans="1:11" x14ac:dyDescent="0.3">
      <c r="A2" s="60"/>
      <c r="B2" s="60"/>
      <c r="C2" s="60"/>
      <c r="D2" s="60"/>
      <c r="E2" s="60"/>
      <c r="F2" s="60"/>
      <c r="G2" s="60"/>
      <c r="H2" s="60"/>
      <c r="I2" s="60"/>
      <c r="J2" s="60"/>
    </row>
    <row r="3" spans="1:11" x14ac:dyDescent="0.3">
      <c r="A3" s="454" t="s">
        <v>1090</v>
      </c>
      <c r="B3" s="454"/>
      <c r="C3" s="454"/>
      <c r="D3" s="454"/>
      <c r="E3" s="454"/>
      <c r="F3" s="454"/>
      <c r="G3" s="454"/>
      <c r="H3" s="454"/>
      <c r="I3" s="454"/>
      <c r="J3" s="454"/>
    </row>
    <row r="4" spans="1:11" x14ac:dyDescent="0.3">
      <c r="A4" s="60"/>
      <c r="B4" s="60"/>
      <c r="C4" s="60"/>
      <c r="D4" s="60"/>
      <c r="E4" s="60"/>
      <c r="F4" s="60"/>
      <c r="G4" s="60"/>
      <c r="H4" s="60"/>
      <c r="I4" s="60"/>
      <c r="J4" s="60"/>
    </row>
    <row r="5" spans="1:11" s="347" customFormat="1" ht="23.1" customHeight="1" x14ac:dyDescent="0.35">
      <c r="A5" s="457" t="s">
        <v>1072</v>
      </c>
      <c r="B5" s="457"/>
      <c r="C5" s="457"/>
      <c r="D5" s="457"/>
      <c r="E5" s="457"/>
      <c r="F5" s="457"/>
      <c r="G5" s="457"/>
      <c r="H5" s="457"/>
      <c r="I5" s="457"/>
      <c r="J5" s="457"/>
    </row>
    <row r="7" spans="1:11" ht="22.5" x14ac:dyDescent="0.3">
      <c r="A7" s="457" t="s">
        <v>1073</v>
      </c>
      <c r="B7" s="457"/>
      <c r="C7" s="457"/>
      <c r="D7" s="457"/>
      <c r="E7" s="457"/>
      <c r="F7" s="457"/>
      <c r="G7" s="457"/>
      <c r="H7" s="457"/>
      <c r="I7" s="457"/>
      <c r="J7" s="457"/>
    </row>
    <row r="8" spans="1:11" ht="22.5" x14ac:dyDescent="0.3">
      <c r="A8" s="288"/>
      <c r="B8" s="288"/>
      <c r="C8" s="288"/>
      <c r="D8" s="288"/>
      <c r="E8" s="288"/>
      <c r="F8" s="288"/>
      <c r="G8" s="288"/>
      <c r="H8" s="288"/>
      <c r="I8" s="288"/>
      <c r="J8" s="288"/>
    </row>
    <row r="9" spans="1:11" x14ac:dyDescent="0.3">
      <c r="A9" s="137" t="s">
        <v>1089</v>
      </c>
    </row>
    <row r="10" spans="1:11" ht="60.75" customHeight="1" x14ac:dyDescent="0.3">
      <c r="A10" s="461" t="s">
        <v>1039</v>
      </c>
      <c r="B10" s="461"/>
      <c r="C10" s="276" t="s">
        <v>1014</v>
      </c>
      <c r="D10" s="276" t="s">
        <v>1015</v>
      </c>
      <c r="E10" s="276" t="s">
        <v>1013</v>
      </c>
      <c r="F10" s="276" t="s">
        <v>979</v>
      </c>
      <c r="G10" s="276" t="s">
        <v>1112</v>
      </c>
      <c r="H10" s="277" t="s">
        <v>1011</v>
      </c>
      <c r="I10" s="277" t="s">
        <v>1009</v>
      </c>
      <c r="J10" s="277" t="s">
        <v>1012</v>
      </c>
    </row>
    <row r="11" spans="1:11" x14ac:dyDescent="0.3">
      <c r="A11" s="458">
        <v>1</v>
      </c>
      <c r="B11" s="458"/>
      <c r="C11" s="295">
        <v>2</v>
      </c>
      <c r="D11" s="296">
        <v>3</v>
      </c>
      <c r="E11" s="295">
        <v>4</v>
      </c>
      <c r="F11" s="295">
        <v>5</v>
      </c>
      <c r="G11" s="295">
        <v>6</v>
      </c>
      <c r="H11" s="295"/>
      <c r="I11" s="295"/>
      <c r="J11" s="295"/>
    </row>
    <row r="12" spans="1:11" s="273" customFormat="1" ht="20.100000000000001" customHeight="1" x14ac:dyDescent="0.3">
      <c r="A12" s="466" t="s">
        <v>37</v>
      </c>
      <c r="B12" s="466"/>
      <c r="C12" s="348">
        <f>SUM(C13)</f>
        <v>1117136.22</v>
      </c>
      <c r="D12" s="348">
        <f>SUM(D13)</f>
        <v>2738871.5299999993</v>
      </c>
      <c r="E12" s="348">
        <f>SUM(E13)</f>
        <v>4286500</v>
      </c>
      <c r="F12" s="348">
        <f>SUM(F13)</f>
        <v>3250400</v>
      </c>
      <c r="G12" s="348">
        <f>SUM(G13)</f>
        <v>2738871.5299999993</v>
      </c>
      <c r="H12" s="349">
        <f t="shared" ref="H12:H37" si="0">IFERROR(SUM(G12/C12),0)</f>
        <v>2.4516898485307363</v>
      </c>
      <c r="I12" s="349">
        <f t="shared" ref="I12:I39" si="1">IFERROR(SUM(G12/D12),0)</f>
        <v>1</v>
      </c>
      <c r="J12" s="349">
        <f t="shared" ref="J12:J39" si="2">IFERROR(SUM(G12/F12),0)</f>
        <v>0.84262599372384916</v>
      </c>
    </row>
    <row r="13" spans="1:11" s="273" customFormat="1" ht="20.100000000000001" customHeight="1" x14ac:dyDescent="0.3">
      <c r="A13" s="466" t="s">
        <v>810</v>
      </c>
      <c r="B13" s="466"/>
      <c r="C13" s="348">
        <f>SUM(C14+C36+C38)</f>
        <v>1117136.22</v>
      </c>
      <c r="D13" s="348">
        <f>SUM(D14+D36+D38)</f>
        <v>2738871.5299999993</v>
      </c>
      <c r="E13" s="348">
        <f>SUM(E14+E36+E38)</f>
        <v>4286500</v>
      </c>
      <c r="F13" s="348">
        <f>SUM(F14+F36+F38)</f>
        <v>3250400</v>
      </c>
      <c r="G13" s="348">
        <f>SUM(G14+G36+G38)</f>
        <v>2738871.5299999993</v>
      </c>
      <c r="H13" s="349">
        <f t="shared" si="0"/>
        <v>2.4516898485307363</v>
      </c>
      <c r="I13" s="349">
        <f t="shared" si="1"/>
        <v>1</v>
      </c>
      <c r="J13" s="349">
        <f t="shared" si="2"/>
        <v>0.84262599372384916</v>
      </c>
    </row>
    <row r="14" spans="1:11" s="273" customFormat="1" ht="20.100000000000001" customHeight="1" x14ac:dyDescent="0.3">
      <c r="A14" s="470" t="s">
        <v>811</v>
      </c>
      <c r="B14" s="470"/>
      <c r="C14" s="348">
        <f>SUM(C15:C35)</f>
        <v>954197.56</v>
      </c>
      <c r="D14" s="348">
        <f>SUM(D15:D35)</f>
        <v>2409715.9699999993</v>
      </c>
      <c r="E14" s="348">
        <f>SUM(E15:E35)</f>
        <v>3925000</v>
      </c>
      <c r="F14" s="348">
        <f>SUM(F15:F35)</f>
        <v>2862700</v>
      </c>
      <c r="G14" s="348">
        <f>SUM(G15:G35)</f>
        <v>2409715.9699999993</v>
      </c>
      <c r="H14" s="349">
        <f t="shared" si="0"/>
        <v>2.5253847536562546</v>
      </c>
      <c r="I14" s="349">
        <f t="shared" si="1"/>
        <v>1</v>
      </c>
      <c r="J14" s="349">
        <f t="shared" si="2"/>
        <v>0.84176335976525629</v>
      </c>
    </row>
    <row r="15" spans="1:11" ht="20.100000000000001" customHeight="1" x14ac:dyDescent="0.3">
      <c r="A15" s="469" t="s">
        <v>813</v>
      </c>
      <c r="B15" s="469"/>
      <c r="C15" s="300">
        <f>SUM('Posebni dio - prog. klas.'!L11)</f>
        <v>213514.22999999998</v>
      </c>
      <c r="D15" s="300">
        <f>SUM('Posebni dio - prog. klas.'!M11)</f>
        <v>563460.0199999999</v>
      </c>
      <c r="E15" s="300">
        <f>SUM('Posebni dio - prog. klas.'!N11)</f>
        <v>643000</v>
      </c>
      <c r="F15" s="300">
        <f>SUM('Posebni dio - prog. klas.'!O11)</f>
        <v>732300</v>
      </c>
      <c r="G15" s="300">
        <f>SUM('Posebni dio - prog. klas.'!P11)</f>
        <v>563460.0199999999</v>
      </c>
      <c r="H15" s="301">
        <f t="shared" si="0"/>
        <v>2.6389811114697133</v>
      </c>
      <c r="I15" s="301">
        <f t="shared" si="1"/>
        <v>1</v>
      </c>
      <c r="J15" s="301">
        <f t="shared" si="2"/>
        <v>0.76943878191997805</v>
      </c>
      <c r="K15" s="137"/>
    </row>
    <row r="16" spans="1:11" ht="20.100000000000001" customHeight="1" x14ac:dyDescent="0.3">
      <c r="A16" s="468" t="s">
        <v>1091</v>
      </c>
      <c r="B16" s="468"/>
      <c r="C16" s="300">
        <f>SUM('Posebni dio - prog. klas.'!L77)</f>
        <v>30219.82</v>
      </c>
      <c r="D16" s="300">
        <f>SUM('Posebni dio - prog. klas.'!M77)</f>
        <v>47191.729999999996</v>
      </c>
      <c r="E16" s="300">
        <f>SUM('Posebni dio - prog. klas.'!N77)</f>
        <v>257000</v>
      </c>
      <c r="F16" s="300">
        <f>SUM('Posebni dio - prog. klas.'!O77)</f>
        <v>62100</v>
      </c>
      <c r="G16" s="300">
        <f>SUM('Posebni dio - prog. klas.'!P77)</f>
        <v>47191.729999999996</v>
      </c>
      <c r="H16" s="301">
        <f t="shared" si="0"/>
        <v>1.5616151916192749</v>
      </c>
      <c r="I16" s="301">
        <f t="shared" si="1"/>
        <v>1</v>
      </c>
      <c r="J16" s="301">
        <f t="shared" si="2"/>
        <v>0.75993123993558764</v>
      </c>
      <c r="K16" s="137"/>
    </row>
    <row r="17" spans="1:11" ht="20.100000000000001" customHeight="1" x14ac:dyDescent="0.3">
      <c r="A17" s="468" t="s">
        <v>1092</v>
      </c>
      <c r="B17" s="468"/>
      <c r="C17" s="300">
        <f>SUM('Posebni dio - prog. klas.'!L87)</f>
        <v>55556.99</v>
      </c>
      <c r="D17" s="300">
        <f>SUM('Posebni dio - prog. klas.'!M87)</f>
        <v>87742.27</v>
      </c>
      <c r="E17" s="300">
        <f>SUM('Posebni dio - prog. klas.'!N87)</f>
        <v>34000</v>
      </c>
      <c r="F17" s="300">
        <f>SUM('Posebni dio - prog. klas.'!O87)</f>
        <v>90000</v>
      </c>
      <c r="G17" s="300">
        <f>SUM('Posebni dio - prog. klas.'!P87)</f>
        <v>87742.27</v>
      </c>
      <c r="H17" s="301">
        <f t="shared" si="0"/>
        <v>1.579320081955484</v>
      </c>
      <c r="I17" s="301">
        <f t="shared" si="1"/>
        <v>1</v>
      </c>
      <c r="J17" s="301">
        <f t="shared" si="2"/>
        <v>0.97491411111111115</v>
      </c>
      <c r="K17" s="137"/>
    </row>
    <row r="18" spans="1:11" ht="20.100000000000001" customHeight="1" x14ac:dyDescent="0.3">
      <c r="A18" s="468" t="s">
        <v>1093</v>
      </c>
      <c r="B18" s="468"/>
      <c r="C18" s="300">
        <f>SUM('Posebni dio - prog. klas.'!L96)</f>
        <v>59223.849999999991</v>
      </c>
      <c r="D18" s="300">
        <f>SUM('Posebni dio - prog. klas.'!M96)</f>
        <v>248410.23</v>
      </c>
      <c r="E18" s="300">
        <f>SUM('Posebni dio - prog. klas.'!N96)</f>
        <v>205000</v>
      </c>
      <c r="F18" s="300">
        <f>SUM('Posebni dio - prog. klas.'!O96)</f>
        <v>248000</v>
      </c>
      <c r="G18" s="300">
        <f>SUM('Posebni dio - prog. klas.'!P96)</f>
        <v>248410.23</v>
      </c>
      <c r="H18" s="301">
        <f t="shared" si="0"/>
        <v>4.1944289336137395</v>
      </c>
      <c r="I18" s="301">
        <f t="shared" si="1"/>
        <v>1</v>
      </c>
      <c r="J18" s="301">
        <f t="shared" si="2"/>
        <v>1.0016541532258065</v>
      </c>
      <c r="K18" s="137"/>
    </row>
    <row r="19" spans="1:11" ht="20.100000000000001" customHeight="1" x14ac:dyDescent="0.3">
      <c r="A19" s="468" t="s">
        <v>1094</v>
      </c>
      <c r="B19" s="468"/>
      <c r="C19" s="300">
        <f>SUM('Posebni dio - prog. klas.'!L113)</f>
        <v>133069.46</v>
      </c>
      <c r="D19" s="300">
        <f>SUM('Posebni dio - prog. klas.'!M113)</f>
        <v>303484.99</v>
      </c>
      <c r="E19" s="300">
        <f>SUM('Posebni dio - prog. klas.'!N113)</f>
        <v>380500</v>
      </c>
      <c r="F19" s="300">
        <f>SUM('Posebni dio - prog. klas.'!O113)</f>
        <v>349500</v>
      </c>
      <c r="G19" s="300">
        <f>SUM('Posebni dio - prog. klas.'!P113)</f>
        <v>303484.99</v>
      </c>
      <c r="H19" s="301">
        <f t="shared" si="0"/>
        <v>2.2806509472571692</v>
      </c>
      <c r="I19" s="301">
        <f t="shared" si="1"/>
        <v>1</v>
      </c>
      <c r="J19" s="301">
        <f t="shared" si="2"/>
        <v>0.86834045779685265</v>
      </c>
      <c r="K19" s="137"/>
    </row>
    <row r="20" spans="1:11" ht="20.100000000000001" customHeight="1" x14ac:dyDescent="0.3">
      <c r="A20" s="468" t="s">
        <v>1095</v>
      </c>
      <c r="B20" s="468"/>
      <c r="C20" s="300">
        <f>SUM('Posebni dio - prog. klas.'!L144)</f>
        <v>24367.34</v>
      </c>
      <c r="D20" s="300">
        <f>SUM('Posebni dio - prog. klas.'!M144)</f>
        <v>56242.15</v>
      </c>
      <c r="E20" s="300">
        <f>SUM('Posebni dio - prog. klas.'!N144)</f>
        <v>87500</v>
      </c>
      <c r="F20" s="300">
        <f>SUM('Posebni dio - prog. klas.'!O144)</f>
        <v>97000</v>
      </c>
      <c r="G20" s="300">
        <f>SUM('Posebni dio - prog. klas.'!P144)</f>
        <v>56242.15</v>
      </c>
      <c r="H20" s="301">
        <f t="shared" si="0"/>
        <v>2.3080955902449753</v>
      </c>
      <c r="I20" s="301">
        <f t="shared" si="1"/>
        <v>1</v>
      </c>
      <c r="J20" s="301">
        <f t="shared" si="2"/>
        <v>0.57981597938144336</v>
      </c>
      <c r="K20" s="137"/>
    </row>
    <row r="21" spans="1:11" ht="20.100000000000001" customHeight="1" x14ac:dyDescent="0.3">
      <c r="A21" s="468" t="s">
        <v>1096</v>
      </c>
      <c r="B21" s="468"/>
      <c r="C21" s="300">
        <f>SUM('Posebni dio - prog. klas.'!L155)</f>
        <v>7050</v>
      </c>
      <c r="D21" s="300">
        <f>SUM('Posebni dio - prog. klas.'!M155)</f>
        <v>17556.23</v>
      </c>
      <c r="E21" s="300">
        <f>SUM('Posebni dio - prog. klas.'!N155)</f>
        <v>15000</v>
      </c>
      <c r="F21" s="300">
        <f>SUM('Posebni dio - prog. klas.'!O155)</f>
        <v>21900</v>
      </c>
      <c r="G21" s="300">
        <f>SUM('Posebni dio - prog. klas.'!P155)</f>
        <v>17556.23</v>
      </c>
      <c r="H21" s="301">
        <f t="shared" si="0"/>
        <v>2.490245390070922</v>
      </c>
      <c r="I21" s="301">
        <f t="shared" si="1"/>
        <v>1</v>
      </c>
      <c r="J21" s="301">
        <f t="shared" si="2"/>
        <v>0.80165433789954332</v>
      </c>
      <c r="K21" s="137"/>
    </row>
    <row r="22" spans="1:11" ht="20.100000000000001" customHeight="1" x14ac:dyDescent="0.3">
      <c r="A22" s="468" t="s">
        <v>1097</v>
      </c>
      <c r="B22" s="468"/>
      <c r="C22" s="300">
        <f>SUM('Posebni dio - prog. klas.'!L167)</f>
        <v>41204.730000000003</v>
      </c>
      <c r="D22" s="300">
        <f>SUM('Posebni dio - prog. klas.'!M167)</f>
        <v>220143.12</v>
      </c>
      <c r="E22" s="300">
        <f>SUM('Posebni dio - prog. klas.'!N167)</f>
        <v>150000</v>
      </c>
      <c r="F22" s="300">
        <f>SUM('Posebni dio - prog. klas.'!O167)</f>
        <v>150000</v>
      </c>
      <c r="G22" s="300">
        <f>SUM('Posebni dio - prog. klas.'!P167)</f>
        <v>220143.12</v>
      </c>
      <c r="H22" s="301">
        <f t="shared" si="0"/>
        <v>5.3426662424435252</v>
      </c>
      <c r="I22" s="301">
        <f t="shared" si="1"/>
        <v>1</v>
      </c>
      <c r="J22" s="301">
        <f t="shared" si="2"/>
        <v>1.4676207999999999</v>
      </c>
      <c r="K22" s="137"/>
    </row>
    <row r="23" spans="1:11" ht="20.100000000000001" customHeight="1" x14ac:dyDescent="0.3">
      <c r="A23" s="468" t="s">
        <v>1098</v>
      </c>
      <c r="B23" s="468"/>
      <c r="C23" s="300">
        <f>SUM('Posebni dio - prog. klas.'!L173)</f>
        <v>42798</v>
      </c>
      <c r="D23" s="300">
        <f>SUM('Posebni dio - prog. klas.'!M173)</f>
        <v>147987.77000000002</v>
      </c>
      <c r="E23" s="300">
        <f>SUM('Posebni dio - prog. klas.'!N173)</f>
        <v>94000</v>
      </c>
      <c r="F23" s="300">
        <f>SUM('Posebni dio - prog. klas.'!O173)</f>
        <v>157000</v>
      </c>
      <c r="G23" s="300">
        <f>SUM('Posebni dio - prog. klas.'!P173)</f>
        <v>147987.77000000002</v>
      </c>
      <c r="H23" s="301">
        <f t="shared" si="0"/>
        <v>3.4578197579326142</v>
      </c>
      <c r="I23" s="301">
        <f t="shared" si="1"/>
        <v>1</v>
      </c>
      <c r="J23" s="301">
        <f t="shared" si="2"/>
        <v>0.94259726114649689</v>
      </c>
      <c r="K23" s="137"/>
    </row>
    <row r="24" spans="1:11" ht="42" customHeight="1" x14ac:dyDescent="0.3">
      <c r="A24" s="468" t="s">
        <v>1099</v>
      </c>
      <c r="B24" s="468"/>
      <c r="C24" s="300">
        <f>SUM('Posebni dio - prog. klas.'!L192)</f>
        <v>8695.09</v>
      </c>
      <c r="D24" s="300">
        <f>SUM('Posebni dio - prog. klas.'!M192)</f>
        <v>9454.7999999999993</v>
      </c>
      <c r="E24" s="300">
        <f>SUM('Posebni dio - prog. klas.'!N192)</f>
        <v>27000</v>
      </c>
      <c r="F24" s="300">
        <f>SUM('Posebni dio - prog. klas.'!O192)</f>
        <v>13500</v>
      </c>
      <c r="G24" s="300">
        <f>SUM('Posebni dio - prog. klas.'!P192)</f>
        <v>9454.7999999999993</v>
      </c>
      <c r="H24" s="301">
        <f t="shared" si="0"/>
        <v>1.0873722986191057</v>
      </c>
      <c r="I24" s="301">
        <f t="shared" si="1"/>
        <v>1</v>
      </c>
      <c r="J24" s="301">
        <f t="shared" si="2"/>
        <v>0.70035555555555551</v>
      </c>
      <c r="K24" s="137"/>
    </row>
    <row r="25" spans="1:11" ht="20.100000000000001" customHeight="1" x14ac:dyDescent="0.3">
      <c r="A25" s="468" t="s">
        <v>1100</v>
      </c>
      <c r="B25" s="468"/>
      <c r="C25" s="300">
        <f>SUM('Posebni dio - prog. klas.'!L202)</f>
        <v>0</v>
      </c>
      <c r="D25" s="300">
        <f>SUM('Posebni dio - prog. klas.'!M202)</f>
        <v>86149.24</v>
      </c>
      <c r="E25" s="300">
        <f>SUM('Posebni dio - prog. klas.'!N202)</f>
        <v>100000</v>
      </c>
      <c r="F25" s="300">
        <f>SUM('Posebni dio - prog. klas.'!O202)</f>
        <v>150000</v>
      </c>
      <c r="G25" s="300">
        <f>SUM('Posebni dio - prog. klas.'!P202)</f>
        <v>86149.24</v>
      </c>
      <c r="H25" s="301">
        <f t="shared" si="0"/>
        <v>0</v>
      </c>
      <c r="I25" s="301">
        <f t="shared" si="1"/>
        <v>1</v>
      </c>
      <c r="J25" s="301">
        <f t="shared" si="2"/>
        <v>0.5743282666666667</v>
      </c>
      <c r="K25" s="137"/>
    </row>
    <row r="26" spans="1:11" ht="20.100000000000001" customHeight="1" x14ac:dyDescent="0.3">
      <c r="A26" s="467" t="s">
        <v>1101</v>
      </c>
      <c r="B26" s="467"/>
      <c r="C26" s="300">
        <f>SUM('Posebni dio - prog. klas.'!L208)</f>
        <v>0</v>
      </c>
      <c r="D26" s="300">
        <f>SUM('Posebni dio - prog. klas.'!M208)</f>
        <v>0</v>
      </c>
      <c r="E26" s="300">
        <f>SUM('Posebni dio - prog. klas.'!N208)</f>
        <v>120000</v>
      </c>
      <c r="F26" s="300">
        <f>SUM('Posebni dio - prog. klas.'!O208)</f>
        <v>0</v>
      </c>
      <c r="G26" s="300">
        <f>SUM('Posebni dio - prog. klas.'!P208)</f>
        <v>0</v>
      </c>
      <c r="H26" s="301">
        <f t="shared" si="0"/>
        <v>0</v>
      </c>
      <c r="I26" s="301">
        <f t="shared" si="1"/>
        <v>0</v>
      </c>
      <c r="J26" s="301">
        <f t="shared" si="2"/>
        <v>0</v>
      </c>
      <c r="K26" s="137"/>
    </row>
    <row r="27" spans="1:11" ht="20.100000000000001" customHeight="1" x14ac:dyDescent="0.3">
      <c r="A27" s="467" t="s">
        <v>1102</v>
      </c>
      <c r="B27" s="467"/>
      <c r="C27" s="300">
        <f>SUM('Posebni dio - prog. klas.'!L216)</f>
        <v>53681.799999999996</v>
      </c>
      <c r="D27" s="300">
        <f>SUM('Posebni dio - prog. klas.'!M216)</f>
        <v>110017.17</v>
      </c>
      <c r="E27" s="300">
        <f>SUM('Posebni dio - prog. klas.'!N216)</f>
        <v>110000</v>
      </c>
      <c r="F27" s="300">
        <f>SUM('Posebni dio - prog. klas.'!O216)</f>
        <v>115000</v>
      </c>
      <c r="G27" s="300">
        <f>SUM('Posebni dio - prog. klas.'!P216)</f>
        <v>110017.17</v>
      </c>
      <c r="H27" s="301">
        <f t="shared" si="0"/>
        <v>2.0494314646677272</v>
      </c>
      <c r="I27" s="301">
        <f t="shared" si="1"/>
        <v>1</v>
      </c>
      <c r="J27" s="301">
        <f t="shared" si="2"/>
        <v>0.95667104347826082</v>
      </c>
      <c r="K27" s="137"/>
    </row>
    <row r="28" spans="1:11" ht="20.100000000000001" customHeight="1" x14ac:dyDescent="0.3">
      <c r="A28" s="467" t="s">
        <v>1103</v>
      </c>
      <c r="B28" s="467"/>
      <c r="C28" s="300">
        <f>SUM('Posebni dio - prog. klas.'!L228)</f>
        <v>16422.419999999998</v>
      </c>
      <c r="D28" s="300">
        <f>SUM('Posebni dio - prog. klas.'!M228)</f>
        <v>30903.14</v>
      </c>
      <c r="E28" s="300">
        <f>SUM('Posebni dio - prog. klas.'!N228)</f>
        <v>33500</v>
      </c>
      <c r="F28" s="300">
        <f>SUM('Posebni dio - prog. klas.'!O228)</f>
        <v>33500</v>
      </c>
      <c r="G28" s="300">
        <f>SUM('Posebni dio - prog. klas.'!P228)</f>
        <v>30903.14</v>
      </c>
      <c r="H28" s="301">
        <f t="shared" si="0"/>
        <v>1.881765294030965</v>
      </c>
      <c r="I28" s="301">
        <f t="shared" si="1"/>
        <v>1</v>
      </c>
      <c r="J28" s="301">
        <f t="shared" si="2"/>
        <v>0.92248179104477612</v>
      </c>
      <c r="K28" s="137"/>
    </row>
    <row r="29" spans="1:11" ht="20.100000000000001" customHeight="1" x14ac:dyDescent="0.3">
      <c r="A29" s="467" t="s">
        <v>1104</v>
      </c>
      <c r="B29" s="467"/>
      <c r="C29" s="300">
        <f>SUM('Posebni dio - prog. klas.'!L240)</f>
        <v>0</v>
      </c>
      <c r="D29" s="300">
        <f>SUM('Posebni dio - prog. klas.'!M240)</f>
        <v>700</v>
      </c>
      <c r="E29" s="300">
        <f>SUM('Posebni dio - prog. klas.'!N240)</f>
        <v>1000</v>
      </c>
      <c r="F29" s="300">
        <f>SUM('Posebni dio - prog. klas.'!O240)</f>
        <v>700</v>
      </c>
      <c r="G29" s="300">
        <f>SUM('Posebni dio - prog. klas.'!P240)</f>
        <v>700</v>
      </c>
      <c r="H29" s="301">
        <f t="shared" si="0"/>
        <v>0</v>
      </c>
      <c r="I29" s="301">
        <f t="shared" si="1"/>
        <v>1</v>
      </c>
      <c r="J29" s="301">
        <f t="shared" si="2"/>
        <v>1</v>
      </c>
      <c r="K29" s="137"/>
    </row>
    <row r="30" spans="1:11" ht="20.100000000000001" customHeight="1" x14ac:dyDescent="0.3">
      <c r="A30" s="467" t="s">
        <v>1105</v>
      </c>
      <c r="B30" s="467"/>
      <c r="C30" s="300">
        <f>SUM('Posebni dio - prog. klas.'!L246)</f>
        <v>147388</v>
      </c>
      <c r="D30" s="300">
        <f>SUM('Posebni dio - prog. klas.'!M246)</f>
        <v>231629.05000000002</v>
      </c>
      <c r="E30" s="300">
        <f>SUM('Posebni dio - prog. klas.'!N246)</f>
        <v>418500</v>
      </c>
      <c r="F30" s="300">
        <f>SUM('Posebni dio - prog. klas.'!O246)</f>
        <v>262900</v>
      </c>
      <c r="G30" s="300">
        <f>SUM('Posebni dio - prog. klas.'!P246)</f>
        <v>231629.05000000002</v>
      </c>
      <c r="H30" s="301">
        <f t="shared" si="0"/>
        <v>1.5715597606318019</v>
      </c>
      <c r="I30" s="301">
        <f t="shared" si="1"/>
        <v>1</v>
      </c>
      <c r="J30" s="301">
        <f t="shared" si="2"/>
        <v>0.8810538227462914</v>
      </c>
      <c r="K30" s="137"/>
    </row>
    <row r="31" spans="1:11" ht="20.100000000000001" customHeight="1" x14ac:dyDescent="0.3">
      <c r="A31" s="467" t="s">
        <v>1106</v>
      </c>
      <c r="B31" s="467"/>
      <c r="C31" s="300">
        <f>SUM('Posebni dio - prog. klas.'!L286)</f>
        <v>24478.46</v>
      </c>
      <c r="D31" s="300">
        <f>SUM('Posebni dio - prog. klas.'!M286)</f>
        <v>41237.07</v>
      </c>
      <c r="E31" s="300">
        <f>SUM('Posebni dio - prog. klas.'!N286)</f>
        <v>50000</v>
      </c>
      <c r="F31" s="300">
        <f>SUM('Posebni dio - prog. klas.'!O286)</f>
        <v>41800</v>
      </c>
      <c r="G31" s="300">
        <f>SUM('Posebni dio - prog. klas.'!P286)</f>
        <v>41237.07</v>
      </c>
      <c r="H31" s="301">
        <f t="shared" si="0"/>
        <v>1.6846268106735474</v>
      </c>
      <c r="I31" s="301">
        <f t="shared" si="1"/>
        <v>1</v>
      </c>
      <c r="J31" s="301">
        <f t="shared" si="2"/>
        <v>0.98653277511961723</v>
      </c>
      <c r="K31" s="137"/>
    </row>
    <row r="32" spans="1:11" ht="20.100000000000001" customHeight="1" x14ac:dyDescent="0.3">
      <c r="A32" s="467" t="s">
        <v>1107</v>
      </c>
      <c r="B32" s="467"/>
      <c r="C32" s="300">
        <f>SUM('Posebni dio - prog. klas.'!L306)</f>
        <v>32963.46</v>
      </c>
      <c r="D32" s="300">
        <f>SUM('Posebni dio - prog. klas.'!M306)</f>
        <v>90852.419999999984</v>
      </c>
      <c r="E32" s="300">
        <f>SUM('Posebni dio - prog. klas.'!N306)</f>
        <v>86000</v>
      </c>
      <c r="F32" s="300">
        <f>SUM('Posebni dio - prog. klas.'!O306)</f>
        <v>95300</v>
      </c>
      <c r="G32" s="300">
        <f>SUM('Posebni dio - prog. klas.'!P306)</f>
        <v>90852.419999999984</v>
      </c>
      <c r="H32" s="301">
        <f t="shared" si="0"/>
        <v>2.756155452127901</v>
      </c>
      <c r="I32" s="301">
        <f t="shared" si="1"/>
        <v>1</v>
      </c>
      <c r="J32" s="301">
        <f t="shared" si="2"/>
        <v>0.95333074501573956</v>
      </c>
      <c r="K32" s="137"/>
    </row>
    <row r="33" spans="1:11" ht="20.100000000000001" customHeight="1" x14ac:dyDescent="0.3">
      <c r="A33" s="467" t="s">
        <v>1108</v>
      </c>
      <c r="B33" s="467"/>
      <c r="C33" s="300">
        <f>SUM('Posebni dio - prog. klas.'!L319)</f>
        <v>46860</v>
      </c>
      <c r="D33" s="300">
        <f>SUM('Posebni dio - prog. klas.'!M319)</f>
        <v>78980</v>
      </c>
      <c r="E33" s="300">
        <f>SUM('Posebni dio - prog. klas.'!N319)</f>
        <v>93000</v>
      </c>
      <c r="F33" s="300">
        <f>SUM('Posebni dio - prog. klas.'!O319)</f>
        <v>93000</v>
      </c>
      <c r="G33" s="300">
        <f>SUM('Posebni dio - prog. klas.'!P319)</f>
        <v>78980</v>
      </c>
      <c r="H33" s="301">
        <f t="shared" si="0"/>
        <v>1.6854460093896713</v>
      </c>
      <c r="I33" s="301">
        <f t="shared" si="1"/>
        <v>1</v>
      </c>
      <c r="J33" s="301">
        <f t="shared" si="2"/>
        <v>0.84924731182795699</v>
      </c>
      <c r="K33" s="137"/>
    </row>
    <row r="34" spans="1:11" ht="20.100000000000001" customHeight="1" x14ac:dyDescent="0.3">
      <c r="A34" s="467" t="s">
        <v>1109</v>
      </c>
      <c r="B34" s="467"/>
      <c r="C34" s="300">
        <f>SUM('Posebni dio - prog. klas.'!L325)</f>
        <v>0</v>
      </c>
      <c r="D34" s="300">
        <f>SUM('Posebni dio - prog. klas.'!M325)</f>
        <v>0</v>
      </c>
      <c r="E34" s="300">
        <f>SUM('Posebni dio - prog. klas.'!N325)</f>
        <v>1000000</v>
      </c>
      <c r="F34" s="300">
        <f>SUM('Posebni dio - prog. klas.'!O325)</f>
        <v>100000</v>
      </c>
      <c r="G34" s="300">
        <f>SUM('Posebni dio - prog. klas.'!P325)</f>
        <v>0</v>
      </c>
      <c r="H34" s="301">
        <f t="shared" si="0"/>
        <v>0</v>
      </c>
      <c r="I34" s="301">
        <f t="shared" si="1"/>
        <v>0</v>
      </c>
      <c r="J34" s="301">
        <f t="shared" si="2"/>
        <v>0</v>
      </c>
      <c r="K34" s="137"/>
    </row>
    <row r="35" spans="1:11" ht="20.100000000000001" customHeight="1" x14ac:dyDescent="0.3">
      <c r="A35" s="467" t="s">
        <v>1110</v>
      </c>
      <c r="B35" s="467"/>
      <c r="C35" s="300">
        <f>SUM('Posebni dio - prog. klas.'!L332)</f>
        <v>16703.91</v>
      </c>
      <c r="D35" s="300">
        <f>SUM('Posebni dio - prog. klas.'!M332)</f>
        <v>37574.57</v>
      </c>
      <c r="E35" s="300">
        <f>SUM('Posebni dio - prog. klas.'!N332)</f>
        <v>20000</v>
      </c>
      <c r="F35" s="300">
        <f>SUM('Posebni dio - prog. klas.'!O332)</f>
        <v>49200</v>
      </c>
      <c r="G35" s="300">
        <f>SUM('Posebni dio - prog. klas.'!P332)</f>
        <v>37574.57</v>
      </c>
      <c r="H35" s="301">
        <f t="shared" si="0"/>
        <v>2.2494475844278377</v>
      </c>
      <c r="I35" s="301">
        <f t="shared" si="1"/>
        <v>1</v>
      </c>
      <c r="J35" s="301">
        <f t="shared" si="2"/>
        <v>0.76371077235772356</v>
      </c>
      <c r="K35" s="137"/>
    </row>
    <row r="36" spans="1:11" s="273" customFormat="1" ht="20.100000000000001" customHeight="1" x14ac:dyDescent="0.3">
      <c r="A36" s="466" t="s">
        <v>827</v>
      </c>
      <c r="B36" s="466"/>
      <c r="C36" s="348">
        <f>SUM(C37)</f>
        <v>142912.26999999999</v>
      </c>
      <c r="D36" s="348">
        <f>SUM(D37)</f>
        <v>291985.69</v>
      </c>
      <c r="E36" s="348">
        <f>SUM(E37)</f>
        <v>320000</v>
      </c>
      <c r="F36" s="348">
        <f>SUM(F37)</f>
        <v>342500</v>
      </c>
      <c r="G36" s="348">
        <f>SUM(G37)</f>
        <v>291985.69</v>
      </c>
      <c r="H36" s="349">
        <f t="shared" si="0"/>
        <v>2.0431114137365536</v>
      </c>
      <c r="I36" s="349">
        <f t="shared" si="1"/>
        <v>1</v>
      </c>
      <c r="J36" s="349">
        <f t="shared" si="2"/>
        <v>0.85251296350364969</v>
      </c>
    </row>
    <row r="37" spans="1:11" ht="20.100000000000001" customHeight="1" x14ac:dyDescent="0.3">
      <c r="A37" s="467" t="s">
        <v>829</v>
      </c>
      <c r="B37" s="467"/>
      <c r="C37" s="300">
        <f>SUM('Posebni dio - prog. klas.'!L342)</f>
        <v>142912.26999999999</v>
      </c>
      <c r="D37" s="300">
        <f>SUM('Posebni dio - prog. klas.'!M342)</f>
        <v>291985.69</v>
      </c>
      <c r="E37" s="300">
        <f>SUM('Posebni dio - prog. klas.'!N342)</f>
        <v>320000</v>
      </c>
      <c r="F37" s="300">
        <f>SUM('Posebni dio - prog. klas.'!O342)</f>
        <v>342500</v>
      </c>
      <c r="G37" s="300">
        <f>SUM('Posebni dio - prog. klas.'!P342)</f>
        <v>291985.69</v>
      </c>
      <c r="H37" s="301">
        <f t="shared" si="0"/>
        <v>2.0431114137365536</v>
      </c>
      <c r="I37" s="301">
        <f t="shared" si="1"/>
        <v>1</v>
      </c>
      <c r="J37" s="301">
        <f t="shared" si="2"/>
        <v>0.85251296350364969</v>
      </c>
      <c r="K37" s="137"/>
    </row>
    <row r="38" spans="1:11" s="273" customFormat="1" ht="20.100000000000001" customHeight="1" x14ac:dyDescent="0.3">
      <c r="A38" s="466" t="s">
        <v>953</v>
      </c>
      <c r="B38" s="466"/>
      <c r="C38" s="348">
        <f t="shared" ref="C38:H38" si="3">SUM(C39)</f>
        <v>20026.39</v>
      </c>
      <c r="D38" s="348">
        <f t="shared" si="3"/>
        <v>37169.869999999995</v>
      </c>
      <c r="E38" s="348">
        <f t="shared" si="3"/>
        <v>41500</v>
      </c>
      <c r="F38" s="348">
        <f t="shared" si="3"/>
        <v>45200</v>
      </c>
      <c r="G38" s="348">
        <f t="shared" si="3"/>
        <v>37169.869999999995</v>
      </c>
      <c r="H38" s="348">
        <f t="shared" si="3"/>
        <v>1.8560444493490837</v>
      </c>
      <c r="I38" s="349">
        <f t="shared" si="1"/>
        <v>1</v>
      </c>
      <c r="J38" s="349">
        <f t="shared" si="2"/>
        <v>0.82234225663716809</v>
      </c>
    </row>
    <row r="39" spans="1:11" ht="20.100000000000001" customHeight="1" x14ac:dyDescent="0.3">
      <c r="A39" s="467" t="s">
        <v>829</v>
      </c>
      <c r="B39" s="467"/>
      <c r="C39" s="300">
        <f>SUM('Posebni dio - prog. klas.'!L378)</f>
        <v>20026.39</v>
      </c>
      <c r="D39" s="300">
        <f>SUM('Posebni dio - prog. klas.'!M378)</f>
        <v>37169.869999999995</v>
      </c>
      <c r="E39" s="300">
        <f>SUM('Posebni dio - prog. klas.'!N378)</f>
        <v>41500</v>
      </c>
      <c r="F39" s="300">
        <f>SUM('Posebni dio - prog. klas.'!O378)</f>
        <v>45200</v>
      </c>
      <c r="G39" s="300">
        <f>SUM('Posebni dio - prog. klas.'!P378)</f>
        <v>37169.869999999995</v>
      </c>
      <c r="H39" s="301">
        <f>IFERROR(SUM(G39/C39),0)</f>
        <v>1.8560444493490837</v>
      </c>
      <c r="I39" s="301">
        <f t="shared" si="1"/>
        <v>1</v>
      </c>
      <c r="J39" s="301">
        <f t="shared" si="2"/>
        <v>0.82234225663716809</v>
      </c>
      <c r="K39" s="137"/>
    </row>
    <row r="40" spans="1:11" ht="20.100000000000001" customHeight="1" x14ac:dyDescent="0.3">
      <c r="B40" s="290"/>
      <c r="C40" s="290"/>
      <c r="D40" s="290"/>
      <c r="E40" s="290"/>
    </row>
    <row r="41" spans="1:11" ht="20.100000000000001" customHeight="1" x14ac:dyDescent="0.3">
      <c r="B41" s="290"/>
      <c r="C41" s="290"/>
      <c r="D41" s="290"/>
      <c r="E41" s="290"/>
    </row>
    <row r="42" spans="1:11" ht="20.100000000000001" customHeight="1" x14ac:dyDescent="0.3">
      <c r="B42" s="290"/>
      <c r="C42" s="290"/>
      <c r="D42" s="290"/>
      <c r="E42" s="290"/>
    </row>
    <row r="43" spans="1:11" ht="20.100000000000001" customHeight="1" x14ac:dyDescent="0.3">
      <c r="B43" s="290"/>
      <c r="C43" s="290"/>
      <c r="D43" s="290"/>
      <c r="E43" s="290"/>
    </row>
    <row r="44" spans="1:11" ht="20.100000000000001" customHeight="1" x14ac:dyDescent="0.3">
      <c r="B44" s="290"/>
      <c r="C44" s="290"/>
      <c r="D44" s="290"/>
      <c r="E44" s="290"/>
    </row>
    <row r="45" spans="1:11" ht="20.100000000000001" customHeight="1" x14ac:dyDescent="0.3">
      <c r="B45" s="290"/>
      <c r="C45" s="290"/>
      <c r="D45" s="290"/>
      <c r="E45" s="290"/>
    </row>
    <row r="46" spans="1:11" ht="20.100000000000001" customHeight="1" x14ac:dyDescent="0.3">
      <c r="B46" s="290"/>
      <c r="C46" s="290"/>
      <c r="D46" s="290"/>
      <c r="E46" s="290"/>
    </row>
    <row r="47" spans="1:11" ht="20.100000000000001" customHeight="1" x14ac:dyDescent="0.3">
      <c r="B47" s="290"/>
      <c r="C47" s="290"/>
      <c r="D47" s="290"/>
      <c r="E47" s="290"/>
    </row>
    <row r="48" spans="1:11" x14ac:dyDescent="0.3">
      <c r="B48" s="290"/>
      <c r="C48" s="290"/>
      <c r="D48" s="290"/>
      <c r="E48" s="290"/>
    </row>
    <row r="49" spans="2:5" x14ac:dyDescent="0.3">
      <c r="B49" s="290"/>
      <c r="C49" s="290"/>
      <c r="D49" s="290"/>
      <c r="E49" s="290"/>
    </row>
    <row r="50" spans="2:5" x14ac:dyDescent="0.3">
      <c r="B50" s="290"/>
      <c r="C50" s="290"/>
      <c r="D50" s="290"/>
      <c r="E50" s="290"/>
    </row>
    <row r="51" spans="2:5" x14ac:dyDescent="0.3">
      <c r="B51" s="290"/>
      <c r="C51" s="290"/>
      <c r="D51" s="290"/>
      <c r="E51" s="290"/>
    </row>
    <row r="52" spans="2:5" x14ac:dyDescent="0.3">
      <c r="B52" s="290"/>
      <c r="C52" s="290"/>
      <c r="D52" s="290"/>
      <c r="E52" s="290"/>
    </row>
    <row r="53" spans="2:5" x14ac:dyDescent="0.3">
      <c r="B53" s="290"/>
      <c r="C53" s="290"/>
      <c r="D53" s="290"/>
      <c r="E53" s="290"/>
    </row>
    <row r="54" spans="2:5" x14ac:dyDescent="0.3">
      <c r="B54" s="290"/>
      <c r="C54" s="290"/>
      <c r="D54" s="290"/>
      <c r="E54" s="290"/>
    </row>
    <row r="55" spans="2:5" x14ac:dyDescent="0.3">
      <c r="B55" s="290"/>
      <c r="C55" s="290"/>
      <c r="D55" s="290"/>
      <c r="E55" s="290"/>
    </row>
    <row r="56" spans="2:5" x14ac:dyDescent="0.3">
      <c r="B56" s="290"/>
      <c r="C56" s="290"/>
      <c r="D56" s="290"/>
      <c r="E56" s="290"/>
    </row>
    <row r="57" spans="2:5" x14ac:dyDescent="0.3">
      <c r="B57" s="290"/>
      <c r="C57" s="290"/>
      <c r="D57" s="290"/>
      <c r="E57" s="290"/>
    </row>
    <row r="58" spans="2:5" x14ac:dyDescent="0.3">
      <c r="B58" s="290"/>
      <c r="C58" s="290"/>
      <c r="D58" s="290"/>
      <c r="E58" s="290"/>
    </row>
    <row r="59" spans="2:5" x14ac:dyDescent="0.3">
      <c r="B59" s="290"/>
      <c r="C59" s="290"/>
      <c r="D59" s="290"/>
      <c r="E59" s="290"/>
    </row>
    <row r="60" spans="2:5" x14ac:dyDescent="0.3">
      <c r="B60" s="290"/>
      <c r="C60" s="290"/>
      <c r="D60" s="290"/>
      <c r="E60" s="290"/>
    </row>
    <row r="61" spans="2:5" x14ac:dyDescent="0.3">
      <c r="B61" s="290"/>
      <c r="C61" s="290"/>
      <c r="D61" s="290"/>
      <c r="E61" s="290"/>
    </row>
    <row r="62" spans="2:5" x14ac:dyDescent="0.3">
      <c r="B62" s="290"/>
      <c r="C62" s="290"/>
      <c r="D62" s="290"/>
      <c r="E62" s="290"/>
    </row>
    <row r="63" spans="2:5" x14ac:dyDescent="0.3">
      <c r="B63" s="290"/>
      <c r="C63" s="290"/>
      <c r="D63" s="290"/>
      <c r="E63" s="290"/>
    </row>
    <row r="64" spans="2:5" x14ac:dyDescent="0.3">
      <c r="B64" s="290"/>
      <c r="C64" s="290"/>
      <c r="D64" s="290"/>
      <c r="E64" s="290"/>
    </row>
    <row r="65" spans="2:5" x14ac:dyDescent="0.3">
      <c r="B65" s="290"/>
      <c r="C65" s="290"/>
      <c r="D65" s="290"/>
      <c r="E65" s="290"/>
    </row>
    <row r="66" spans="2:5" x14ac:dyDescent="0.3">
      <c r="B66" s="290"/>
      <c r="C66" s="290"/>
      <c r="D66" s="290"/>
      <c r="E66" s="290"/>
    </row>
    <row r="67" spans="2:5" x14ac:dyDescent="0.3">
      <c r="B67" s="290"/>
      <c r="C67" s="290"/>
      <c r="D67" s="290"/>
      <c r="E67" s="290"/>
    </row>
    <row r="68" spans="2:5" x14ac:dyDescent="0.3">
      <c r="B68" s="290"/>
      <c r="C68" s="290"/>
      <c r="D68" s="290"/>
      <c r="E68" s="290"/>
    </row>
    <row r="69" spans="2:5" x14ac:dyDescent="0.3">
      <c r="B69" s="290"/>
      <c r="C69" s="290"/>
      <c r="D69" s="290"/>
      <c r="E69" s="290"/>
    </row>
    <row r="70" spans="2:5" x14ac:dyDescent="0.3">
      <c r="B70" s="290"/>
      <c r="C70" s="290"/>
      <c r="D70" s="290"/>
      <c r="E70" s="290"/>
    </row>
    <row r="71" spans="2:5" x14ac:dyDescent="0.3">
      <c r="B71" s="290"/>
      <c r="C71" s="290"/>
      <c r="D71" s="290"/>
      <c r="E71" s="290"/>
    </row>
    <row r="72" spans="2:5" x14ac:dyDescent="0.3">
      <c r="B72" s="290"/>
      <c r="C72" s="290"/>
      <c r="D72" s="290"/>
      <c r="E72" s="290"/>
    </row>
    <row r="73" spans="2:5" x14ac:dyDescent="0.3">
      <c r="B73" s="290"/>
      <c r="C73" s="290"/>
      <c r="D73" s="290"/>
      <c r="E73" s="290"/>
    </row>
    <row r="74" spans="2:5" x14ac:dyDescent="0.3">
      <c r="B74" s="290"/>
      <c r="C74" s="290"/>
      <c r="D74" s="290"/>
      <c r="E74" s="290"/>
    </row>
    <row r="75" spans="2:5" x14ac:dyDescent="0.3">
      <c r="B75" s="290"/>
      <c r="C75" s="290"/>
      <c r="D75" s="290"/>
      <c r="E75" s="290"/>
    </row>
    <row r="76" spans="2:5" x14ac:dyDescent="0.3">
      <c r="B76" s="290"/>
      <c r="C76" s="290"/>
      <c r="D76" s="290"/>
      <c r="E76" s="290"/>
    </row>
    <row r="77" spans="2:5" x14ac:dyDescent="0.3">
      <c r="B77" s="290"/>
      <c r="C77" s="290"/>
      <c r="D77" s="290"/>
      <c r="E77" s="290"/>
    </row>
    <row r="78" spans="2:5" x14ac:dyDescent="0.3">
      <c r="B78" s="290"/>
      <c r="C78" s="290"/>
      <c r="D78" s="290"/>
      <c r="E78" s="290"/>
    </row>
    <row r="79" spans="2:5" x14ac:dyDescent="0.3">
      <c r="B79" s="290"/>
      <c r="C79" s="290"/>
      <c r="D79" s="290"/>
      <c r="E79" s="290"/>
    </row>
    <row r="80" spans="2:5" x14ac:dyDescent="0.3">
      <c r="B80" s="290"/>
      <c r="C80" s="290"/>
      <c r="D80" s="290"/>
      <c r="E80" s="290"/>
    </row>
    <row r="81" spans="2:5" x14ac:dyDescent="0.3">
      <c r="B81" s="290"/>
      <c r="C81" s="290"/>
      <c r="D81" s="290"/>
      <c r="E81" s="290"/>
    </row>
    <row r="82" spans="2:5" x14ac:dyDescent="0.3">
      <c r="B82" s="290"/>
      <c r="C82" s="290"/>
      <c r="D82" s="290"/>
      <c r="E82" s="290"/>
    </row>
    <row r="83" spans="2:5" x14ac:dyDescent="0.3">
      <c r="B83" s="290"/>
      <c r="C83" s="290"/>
      <c r="D83" s="290"/>
      <c r="E83" s="290"/>
    </row>
    <row r="84" spans="2:5" x14ac:dyDescent="0.3">
      <c r="B84" s="290"/>
      <c r="C84" s="290"/>
      <c r="D84" s="290"/>
      <c r="E84" s="290"/>
    </row>
    <row r="85" spans="2:5" x14ac:dyDescent="0.3">
      <c r="B85" s="290"/>
      <c r="C85" s="290"/>
      <c r="D85" s="290"/>
      <c r="E85" s="290"/>
    </row>
    <row r="86" spans="2:5" x14ac:dyDescent="0.3">
      <c r="B86" s="290"/>
      <c r="C86" s="290"/>
      <c r="D86" s="290"/>
      <c r="E86" s="290"/>
    </row>
    <row r="87" spans="2:5" x14ac:dyDescent="0.3">
      <c r="B87" s="290"/>
      <c r="C87" s="290"/>
      <c r="D87" s="290"/>
      <c r="E87" s="290"/>
    </row>
    <row r="88" spans="2:5" x14ac:dyDescent="0.3">
      <c r="B88" s="290"/>
      <c r="C88" s="290"/>
      <c r="D88" s="290"/>
      <c r="E88" s="290"/>
    </row>
    <row r="89" spans="2:5" x14ac:dyDescent="0.3">
      <c r="B89" s="290"/>
      <c r="C89" s="290"/>
      <c r="D89" s="290"/>
      <c r="E89" s="290"/>
    </row>
    <row r="90" spans="2:5" x14ac:dyDescent="0.3">
      <c r="B90" s="290"/>
      <c r="C90" s="290"/>
      <c r="D90" s="290"/>
      <c r="E90" s="290"/>
    </row>
    <row r="91" spans="2:5" x14ac:dyDescent="0.3">
      <c r="B91" s="290"/>
      <c r="C91" s="290"/>
      <c r="D91" s="290"/>
      <c r="E91" s="290"/>
    </row>
    <row r="92" spans="2:5" x14ac:dyDescent="0.3">
      <c r="B92" s="290"/>
      <c r="C92" s="290"/>
      <c r="D92" s="290"/>
      <c r="E92" s="290"/>
    </row>
    <row r="93" spans="2:5" x14ac:dyDescent="0.3">
      <c r="B93" s="290"/>
      <c r="C93" s="290"/>
      <c r="D93" s="290"/>
      <c r="E93" s="290"/>
    </row>
    <row r="94" spans="2:5" x14ac:dyDescent="0.3">
      <c r="B94" s="290"/>
      <c r="C94" s="290"/>
      <c r="D94" s="290"/>
      <c r="E94" s="290"/>
    </row>
    <row r="95" spans="2:5" x14ac:dyDescent="0.3">
      <c r="B95" s="290"/>
      <c r="C95" s="290"/>
      <c r="D95" s="290"/>
      <c r="E95" s="290"/>
    </row>
    <row r="96" spans="2:5" x14ac:dyDescent="0.3">
      <c r="B96" s="290"/>
      <c r="C96" s="290"/>
      <c r="D96" s="290"/>
      <c r="E96" s="290"/>
    </row>
    <row r="97" spans="2:5" x14ac:dyDescent="0.3">
      <c r="B97" s="290"/>
      <c r="C97" s="290"/>
      <c r="D97" s="290"/>
      <c r="E97" s="290"/>
    </row>
    <row r="98" spans="2:5" x14ac:dyDescent="0.3">
      <c r="B98" s="290"/>
      <c r="C98" s="290"/>
      <c r="D98" s="290"/>
      <c r="E98" s="290"/>
    </row>
    <row r="99" spans="2:5" x14ac:dyDescent="0.3">
      <c r="B99" s="290"/>
      <c r="C99" s="290"/>
      <c r="D99" s="290"/>
      <c r="E99" s="290"/>
    </row>
    <row r="100" spans="2:5" x14ac:dyDescent="0.3">
      <c r="B100" s="290"/>
      <c r="C100" s="290"/>
      <c r="D100" s="290"/>
      <c r="E100" s="290"/>
    </row>
    <row r="101" spans="2:5" x14ac:dyDescent="0.3">
      <c r="B101" s="290"/>
      <c r="C101" s="290"/>
      <c r="D101" s="290"/>
      <c r="E101" s="290"/>
    </row>
    <row r="102" spans="2:5" x14ac:dyDescent="0.3">
      <c r="B102" s="290"/>
      <c r="C102" s="290"/>
      <c r="D102" s="290"/>
      <c r="E102" s="290"/>
    </row>
    <row r="103" spans="2:5" x14ac:dyDescent="0.3">
      <c r="B103" s="290"/>
      <c r="C103" s="290"/>
      <c r="D103" s="290"/>
      <c r="E103" s="290"/>
    </row>
    <row r="104" spans="2:5" x14ac:dyDescent="0.3">
      <c r="B104" s="290"/>
      <c r="C104" s="290"/>
      <c r="D104" s="290"/>
      <c r="E104" s="290"/>
    </row>
    <row r="105" spans="2:5" x14ac:dyDescent="0.3">
      <c r="B105" s="290"/>
      <c r="C105" s="290"/>
      <c r="D105" s="290"/>
      <c r="E105" s="290"/>
    </row>
    <row r="106" spans="2:5" x14ac:dyDescent="0.3">
      <c r="B106" s="290"/>
      <c r="C106" s="290"/>
      <c r="D106" s="290"/>
      <c r="E106" s="290"/>
    </row>
    <row r="107" spans="2:5" x14ac:dyDescent="0.3">
      <c r="B107" s="290"/>
      <c r="C107" s="290"/>
      <c r="D107" s="290"/>
      <c r="E107" s="290"/>
    </row>
    <row r="108" spans="2:5" x14ac:dyDescent="0.3">
      <c r="B108" s="290"/>
      <c r="C108" s="290"/>
      <c r="D108" s="290"/>
      <c r="E108" s="290"/>
    </row>
    <row r="109" spans="2:5" x14ac:dyDescent="0.3">
      <c r="B109" s="290"/>
      <c r="C109" s="290"/>
      <c r="D109" s="290"/>
      <c r="E109" s="290"/>
    </row>
    <row r="110" spans="2:5" x14ac:dyDescent="0.3">
      <c r="B110" s="290"/>
      <c r="C110" s="290"/>
      <c r="D110" s="290"/>
      <c r="E110" s="290"/>
    </row>
    <row r="111" spans="2:5" x14ac:dyDescent="0.3">
      <c r="B111" s="290"/>
      <c r="C111" s="290"/>
      <c r="D111" s="290"/>
      <c r="E111" s="290"/>
    </row>
    <row r="112" spans="2:5" x14ac:dyDescent="0.3">
      <c r="B112" s="290"/>
      <c r="C112" s="290"/>
      <c r="D112" s="290"/>
      <c r="E112" s="290"/>
    </row>
    <row r="113" spans="2:5" x14ac:dyDescent="0.3">
      <c r="B113" s="290"/>
      <c r="C113" s="290"/>
      <c r="D113" s="290"/>
      <c r="E113" s="290"/>
    </row>
    <row r="114" spans="2:5" x14ac:dyDescent="0.3">
      <c r="B114" s="290"/>
      <c r="C114" s="290"/>
      <c r="D114" s="290"/>
      <c r="E114" s="290"/>
    </row>
    <row r="115" spans="2:5" x14ac:dyDescent="0.3">
      <c r="B115" s="290"/>
      <c r="C115" s="290"/>
      <c r="D115" s="290"/>
      <c r="E115" s="290"/>
    </row>
    <row r="116" spans="2:5" x14ac:dyDescent="0.3">
      <c r="B116" s="290"/>
      <c r="C116" s="290"/>
      <c r="D116" s="290"/>
      <c r="E116" s="290"/>
    </row>
    <row r="117" spans="2:5" x14ac:dyDescent="0.3">
      <c r="B117" s="290"/>
      <c r="C117" s="290"/>
      <c r="D117" s="290"/>
      <c r="E117" s="290"/>
    </row>
    <row r="118" spans="2:5" x14ac:dyDescent="0.3">
      <c r="B118" s="290"/>
      <c r="C118" s="290"/>
      <c r="D118" s="290"/>
      <c r="E118" s="290"/>
    </row>
    <row r="119" spans="2:5" x14ac:dyDescent="0.3">
      <c r="B119" s="290"/>
      <c r="C119" s="290"/>
      <c r="D119" s="290"/>
      <c r="E119" s="290"/>
    </row>
    <row r="120" spans="2:5" x14ac:dyDescent="0.3">
      <c r="B120" s="290"/>
      <c r="C120" s="290"/>
      <c r="D120" s="290"/>
      <c r="E120" s="290"/>
    </row>
    <row r="121" spans="2:5" x14ac:dyDescent="0.3">
      <c r="B121" s="290"/>
      <c r="C121" s="290"/>
      <c r="D121" s="290"/>
      <c r="E121" s="290"/>
    </row>
    <row r="122" spans="2:5" x14ac:dyDescent="0.3">
      <c r="B122" s="290"/>
      <c r="C122" s="290"/>
      <c r="D122" s="290"/>
      <c r="E122" s="290"/>
    </row>
    <row r="123" spans="2:5" x14ac:dyDescent="0.3">
      <c r="B123" s="290"/>
      <c r="C123" s="290"/>
      <c r="D123" s="290"/>
      <c r="E123" s="290"/>
    </row>
    <row r="124" spans="2:5" x14ac:dyDescent="0.3">
      <c r="B124" s="290"/>
      <c r="C124" s="290"/>
      <c r="D124" s="290"/>
      <c r="E124" s="290"/>
    </row>
    <row r="125" spans="2:5" x14ac:dyDescent="0.3">
      <c r="B125" s="290"/>
      <c r="C125" s="290"/>
      <c r="D125" s="290"/>
      <c r="E125" s="290"/>
    </row>
    <row r="126" spans="2:5" x14ac:dyDescent="0.3">
      <c r="B126" s="290"/>
      <c r="C126" s="290"/>
      <c r="D126" s="290"/>
      <c r="E126" s="290"/>
    </row>
    <row r="127" spans="2:5" x14ac:dyDescent="0.3">
      <c r="B127" s="290"/>
      <c r="C127" s="290"/>
      <c r="D127" s="290"/>
      <c r="E127" s="290"/>
    </row>
    <row r="128" spans="2:5" x14ac:dyDescent="0.3">
      <c r="B128" s="290"/>
      <c r="C128" s="290"/>
      <c r="D128" s="290"/>
      <c r="E128" s="290"/>
    </row>
    <row r="129" spans="2:5" x14ac:dyDescent="0.3">
      <c r="B129" s="290"/>
      <c r="C129" s="290"/>
      <c r="D129" s="290"/>
      <c r="E129" s="290"/>
    </row>
    <row r="130" spans="2:5" x14ac:dyDescent="0.3">
      <c r="B130" s="290"/>
      <c r="C130" s="290"/>
      <c r="D130" s="290"/>
      <c r="E130" s="290"/>
    </row>
    <row r="131" spans="2:5" x14ac:dyDescent="0.3">
      <c r="B131" s="290"/>
      <c r="C131" s="290"/>
      <c r="D131" s="290"/>
      <c r="E131" s="290"/>
    </row>
    <row r="132" spans="2:5" x14ac:dyDescent="0.3">
      <c r="B132" s="290"/>
      <c r="C132" s="290"/>
      <c r="D132" s="290"/>
      <c r="E132" s="290"/>
    </row>
    <row r="133" spans="2:5" x14ac:dyDescent="0.3">
      <c r="B133" s="290"/>
      <c r="C133" s="290"/>
      <c r="D133" s="290"/>
      <c r="E133" s="290"/>
    </row>
    <row r="134" spans="2:5" x14ac:dyDescent="0.3">
      <c r="B134" s="290"/>
      <c r="C134" s="290"/>
      <c r="D134" s="290"/>
      <c r="E134" s="290"/>
    </row>
    <row r="135" spans="2:5" x14ac:dyDescent="0.3">
      <c r="B135" s="290"/>
      <c r="C135" s="290"/>
      <c r="D135" s="290"/>
      <c r="E135" s="290"/>
    </row>
    <row r="136" spans="2:5" x14ac:dyDescent="0.3">
      <c r="B136" s="290"/>
      <c r="C136" s="290"/>
      <c r="D136" s="290"/>
      <c r="E136" s="290"/>
    </row>
    <row r="137" spans="2:5" x14ac:dyDescent="0.3">
      <c r="B137" s="290"/>
      <c r="C137" s="290"/>
      <c r="D137" s="290"/>
      <c r="E137" s="290"/>
    </row>
    <row r="138" spans="2:5" x14ac:dyDescent="0.3">
      <c r="B138" s="290"/>
      <c r="C138" s="290"/>
      <c r="D138" s="290"/>
      <c r="E138" s="290"/>
    </row>
    <row r="139" spans="2:5" x14ac:dyDescent="0.3">
      <c r="B139" s="290"/>
      <c r="C139" s="290"/>
      <c r="D139" s="290"/>
      <c r="E139" s="290"/>
    </row>
    <row r="140" spans="2:5" x14ac:dyDescent="0.3">
      <c r="B140" s="290"/>
      <c r="C140" s="290"/>
      <c r="D140" s="290"/>
      <c r="E140" s="290"/>
    </row>
    <row r="141" spans="2:5" x14ac:dyDescent="0.3">
      <c r="B141" s="290"/>
      <c r="C141" s="290"/>
      <c r="D141" s="290"/>
      <c r="E141" s="290"/>
    </row>
    <row r="142" spans="2:5" x14ac:dyDescent="0.3">
      <c r="B142" s="290"/>
      <c r="C142" s="290"/>
      <c r="D142" s="290"/>
      <c r="E142" s="290"/>
    </row>
    <row r="143" spans="2:5" x14ac:dyDescent="0.3">
      <c r="E143" s="290"/>
    </row>
    <row r="144" spans="2:5" x14ac:dyDescent="0.3">
      <c r="E144" s="290"/>
    </row>
  </sheetData>
  <mergeCells count="34">
    <mergeCell ref="A7:J7"/>
    <mergeCell ref="A5:J5"/>
    <mergeCell ref="A13:B13"/>
    <mergeCell ref="A12:B12"/>
    <mergeCell ref="A14:B14"/>
    <mergeCell ref="A10:B10"/>
    <mergeCell ref="A11:B11"/>
    <mergeCell ref="A15:B15"/>
    <mergeCell ref="A16:B16"/>
    <mergeCell ref="A17:B17"/>
    <mergeCell ref="A18:B18"/>
    <mergeCell ref="A24:B24"/>
    <mergeCell ref="A25:B25"/>
    <mergeCell ref="A19:B19"/>
    <mergeCell ref="A20:B20"/>
    <mergeCell ref="A21:B21"/>
    <mergeCell ref="A22:B22"/>
    <mergeCell ref="A23:B23"/>
    <mergeCell ref="A1:J1"/>
    <mergeCell ref="A3:J3"/>
    <mergeCell ref="A38:B38"/>
    <mergeCell ref="A39:B39"/>
    <mergeCell ref="A36:B36"/>
    <mergeCell ref="A37:B37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</mergeCells>
  <pageMargins left="0.39370078740157483" right="0.39370078740157483" top="0.59055118110236227" bottom="0.39370078740157483" header="0.31496062992125984" footer="0.31496062992125984"/>
  <pageSetup paperSize="9" scale="59" firstPageNumber="13" fitToHeight="0" orientation="landscape" useFirstPageNumber="1" r:id="rId1"/>
  <headerFooter>
    <oddFooter>&amp;R&amp;14&amp;P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2">
    <pageSetUpPr fitToPage="1"/>
  </sheetPr>
  <dimension ref="A1:AB555"/>
  <sheetViews>
    <sheetView view="pageBreakPreview" zoomScale="80" zoomScaleNormal="100" zoomScaleSheetLayoutView="80" workbookViewId="0">
      <selection activeCell="K59" sqref="K59"/>
    </sheetView>
  </sheetViews>
  <sheetFormatPr defaultRowHeight="20.25" x14ac:dyDescent="0.3"/>
  <cols>
    <col min="1" max="1" width="6.28515625" style="439" customWidth="1"/>
    <col min="2" max="9" width="2.7109375" style="89" customWidth="1"/>
    <col min="10" max="10" width="9.42578125" style="89" customWidth="1"/>
    <col min="11" max="11" width="75.7109375" style="89" customWidth="1"/>
    <col min="12" max="12" width="20.7109375" style="307" customWidth="1"/>
    <col min="13" max="13" width="20.7109375" style="437" customWidth="1"/>
    <col min="14" max="16" width="20.7109375" style="89" customWidth="1"/>
    <col min="17" max="19" width="15.7109375" style="89" customWidth="1"/>
    <col min="20" max="20" width="26.7109375" style="351" customWidth="1"/>
    <col min="21" max="21" width="15.7109375" style="270" customWidth="1"/>
    <col min="22" max="22" width="17.140625" style="270" customWidth="1"/>
    <col min="23" max="24" width="3.7109375" style="270" customWidth="1"/>
    <col min="25" max="25" width="3.5703125" style="270" customWidth="1"/>
    <col min="26" max="26" width="3.7109375" style="270" customWidth="1"/>
    <col min="27" max="28" width="13.42578125" style="270" bestFit="1" customWidth="1"/>
    <col min="29" max="16384" width="9.140625" style="89"/>
  </cols>
  <sheetData>
    <row r="1" spans="1:28" ht="23.1" customHeight="1" x14ac:dyDescent="0.3">
      <c r="A1" s="476" t="s">
        <v>1072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</row>
    <row r="2" spans="1:28" x14ac:dyDescent="0.3">
      <c r="A2" s="462"/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352" t="e">
        <f>SUM(L16+L18+L20+L21+L24+L25+L26+L27+L29+L30+L31+L32+L33+L35+L36+L37+L38+L39+L40+L41+L42+L43+L44+#REF!+L48+L49+L50+L51+L53+#REF!+L55+L57+L59+L91+L105+L106+L107+L108+L109+L110+L118+L120+L121+#REF!+#REF!+#REF!+#REF!+#REF!+L82+L84+#REF!+#REF!+#REF!+#REF!+#REF!+#REF!+L85+L148+L149+#REF!+#REF!+L177+L178+#REF!+L150+#REF!+#REF!+L200+L206+L212+L171+#REF!+#REF!+L329+L111+L158+L220+L224+L225+L236+L237+L238+L244+L272+L273+L274+L275+L323+L316+L276+L277+L278+L302+L303+L153+L251+L253+L254+L256+L257+#REF!+#REF!+L261+L263+#REF!+L265+L268+L304+L347+L348+L350+L352+#REF!+L355+L356+L359+L360+#REF!+L361+L362+#REF!+#REF!+L364+L365+L366+L367+L368+L369+L370+#REF!+#REF!+L373+L376+#REF!+#REF!+L336+L310+L311+L165+L163+#REF!+L63+#REF!+#REF!+L67)</f>
        <v>#REF!</v>
      </c>
    </row>
    <row r="3" spans="1:28" x14ac:dyDescent="0.3">
      <c r="A3" s="477" t="s">
        <v>1074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7"/>
      <c r="S3" s="477"/>
      <c r="T3" s="352" t="e">
        <f>SUM(T2+L46+L47+#REF!)</f>
        <v>#REF!</v>
      </c>
    </row>
    <row r="4" spans="1:28" x14ac:dyDescent="0.3">
      <c r="A4" s="446" t="s">
        <v>1088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2"/>
    </row>
    <row r="5" spans="1:28" s="322" customFormat="1" ht="21" thickBot="1" x14ac:dyDescent="0.35">
      <c r="A5" s="354"/>
      <c r="B5" s="475" t="s">
        <v>530</v>
      </c>
      <c r="C5" s="475"/>
      <c r="D5" s="475"/>
      <c r="E5" s="475"/>
      <c r="F5" s="475"/>
      <c r="G5" s="475"/>
      <c r="H5" s="47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6"/>
      <c r="U5" s="357"/>
      <c r="V5" s="357"/>
      <c r="W5" s="357"/>
      <c r="X5" s="357"/>
      <c r="Y5" s="357"/>
      <c r="Z5" s="357"/>
      <c r="AA5" s="357"/>
      <c r="AB5" s="357"/>
    </row>
    <row r="6" spans="1:28" s="322" customFormat="1" ht="132" customHeight="1" thickBot="1" x14ac:dyDescent="0.35">
      <c r="A6" s="358" t="s">
        <v>869</v>
      </c>
      <c r="B6" s="359">
        <v>1</v>
      </c>
      <c r="C6" s="359">
        <v>2</v>
      </c>
      <c r="D6" s="359">
        <v>3</v>
      </c>
      <c r="E6" s="359">
        <v>4</v>
      </c>
      <c r="F6" s="359">
        <v>5</v>
      </c>
      <c r="G6" s="359">
        <v>6</v>
      </c>
      <c r="H6" s="359">
        <v>7</v>
      </c>
      <c r="I6" s="360"/>
      <c r="J6" s="361" t="s">
        <v>502</v>
      </c>
      <c r="K6" s="360" t="s">
        <v>34</v>
      </c>
      <c r="L6" s="350" t="s">
        <v>1014</v>
      </c>
      <c r="M6" s="350" t="s">
        <v>1015</v>
      </c>
      <c r="N6" s="350" t="s">
        <v>1013</v>
      </c>
      <c r="O6" s="350" t="s">
        <v>979</v>
      </c>
      <c r="P6" s="350" t="s">
        <v>1112</v>
      </c>
      <c r="Q6" s="350" t="s">
        <v>1126</v>
      </c>
      <c r="R6" s="350" t="s">
        <v>1125</v>
      </c>
      <c r="S6" s="350" t="s">
        <v>1124</v>
      </c>
      <c r="T6" s="356"/>
      <c r="U6" s="362"/>
      <c r="V6" s="362"/>
      <c r="W6" s="357"/>
      <c r="X6" s="357"/>
      <c r="Y6" s="357"/>
      <c r="Z6" s="357"/>
      <c r="AA6" s="357"/>
      <c r="AB6" s="357"/>
    </row>
    <row r="7" spans="1:28" s="322" customFormat="1" ht="25.5" customHeight="1" thickBot="1" x14ac:dyDescent="0.35">
      <c r="A7" s="363"/>
      <c r="B7" s="359"/>
      <c r="C7" s="359"/>
      <c r="D7" s="359"/>
      <c r="E7" s="359"/>
      <c r="F7" s="359"/>
      <c r="G7" s="359"/>
      <c r="H7" s="359"/>
      <c r="I7" s="360"/>
      <c r="J7" s="364"/>
      <c r="K7" s="365">
        <v>2</v>
      </c>
      <c r="L7" s="366">
        <v>3</v>
      </c>
      <c r="M7" s="367">
        <v>4</v>
      </c>
      <c r="N7" s="366">
        <v>5</v>
      </c>
      <c r="O7" s="366">
        <v>6</v>
      </c>
      <c r="P7" s="366">
        <v>7</v>
      </c>
      <c r="Q7" s="366">
        <v>8</v>
      </c>
      <c r="R7" s="366">
        <v>9</v>
      </c>
      <c r="S7" s="366">
        <v>10</v>
      </c>
      <c r="T7" s="356"/>
      <c r="U7" s="362"/>
      <c r="V7" s="362"/>
      <c r="W7" s="357"/>
      <c r="X7" s="357"/>
      <c r="Y7" s="357"/>
      <c r="Z7" s="357"/>
      <c r="AA7" s="357"/>
      <c r="AB7" s="357"/>
    </row>
    <row r="8" spans="1:28" s="374" customFormat="1" ht="21" thickBot="1" x14ac:dyDescent="0.35">
      <c r="A8" s="368"/>
      <c r="B8" s="360"/>
      <c r="C8" s="360"/>
      <c r="D8" s="360"/>
      <c r="E8" s="360"/>
      <c r="F8" s="360"/>
      <c r="G8" s="360"/>
      <c r="H8" s="360"/>
      <c r="I8" s="360" t="s">
        <v>37</v>
      </c>
      <c r="J8" s="360"/>
      <c r="K8" s="360"/>
      <c r="L8" s="369">
        <f>SUM(L9)</f>
        <v>1117136.22</v>
      </c>
      <c r="M8" s="369">
        <f>SUM(M9)</f>
        <v>2738871.5299999993</v>
      </c>
      <c r="N8" s="369">
        <f>SUM(N9)</f>
        <v>4286500</v>
      </c>
      <c r="O8" s="369">
        <f>SUM(O9)</f>
        <v>3250400</v>
      </c>
      <c r="P8" s="369">
        <f>SUM(P9)</f>
        <v>2738871.5299999993</v>
      </c>
      <c r="Q8" s="370">
        <f>IFERROR(SUM(P8/L8),0)</f>
        <v>2.4516898485307363</v>
      </c>
      <c r="R8" s="370">
        <f>IFERROR(SUM(P8/M8),0)</f>
        <v>1</v>
      </c>
      <c r="S8" s="370">
        <f>IFERROR(SUM(P8/O8),0)</f>
        <v>0.84262599372384916</v>
      </c>
      <c r="T8" s="371"/>
      <c r="U8" s="372"/>
      <c r="V8" s="373"/>
      <c r="W8" s="373"/>
      <c r="X8" s="373"/>
      <c r="Y8" s="373"/>
      <c r="Z8" s="373"/>
      <c r="AA8" s="373"/>
      <c r="AB8" s="373"/>
    </row>
    <row r="9" spans="1:28" s="374" customFormat="1" ht="21.75" thickTop="1" thickBot="1" x14ac:dyDescent="0.35">
      <c r="A9" s="368"/>
      <c r="B9" s="360"/>
      <c r="C9" s="360"/>
      <c r="D9" s="360"/>
      <c r="E9" s="360"/>
      <c r="F9" s="360"/>
      <c r="G9" s="360"/>
      <c r="H9" s="360"/>
      <c r="I9" s="360" t="s">
        <v>810</v>
      </c>
      <c r="J9" s="360"/>
      <c r="K9" s="360"/>
      <c r="L9" s="369">
        <f>SUM(L10+L341+L378)</f>
        <v>1117136.22</v>
      </c>
      <c r="M9" s="369">
        <f>SUM(M10+M341+M378)</f>
        <v>2738871.5299999993</v>
      </c>
      <c r="N9" s="369">
        <f>SUM(N10+N341+N378)</f>
        <v>4286500</v>
      </c>
      <c r="O9" s="369">
        <f>SUM(O10+O341+O378)</f>
        <v>3250400</v>
      </c>
      <c r="P9" s="369">
        <f>SUM(P10+P341+P378)</f>
        <v>2738871.5299999993</v>
      </c>
      <c r="Q9" s="370">
        <f>IFERROR(SUM(P9/L9),0)</f>
        <v>2.4516898485307363</v>
      </c>
      <c r="R9" s="370">
        <f>IFERROR(SUM(P9/M9),0)</f>
        <v>1</v>
      </c>
      <c r="S9" s="370">
        <f>IFERROR(SUM(P9/O9),0)</f>
        <v>0.84262599372384916</v>
      </c>
      <c r="T9" s="375"/>
      <c r="U9" s="372"/>
      <c r="V9" s="373"/>
      <c r="W9" s="373"/>
      <c r="X9" s="373"/>
      <c r="Y9" s="373"/>
      <c r="Z9" s="373"/>
      <c r="AA9" s="372"/>
      <c r="AB9" s="372"/>
    </row>
    <row r="10" spans="1:28" s="374" customFormat="1" ht="21.75" thickTop="1" thickBot="1" x14ac:dyDescent="0.35">
      <c r="A10" s="368"/>
      <c r="B10" s="360"/>
      <c r="C10" s="360"/>
      <c r="D10" s="360"/>
      <c r="E10" s="360"/>
      <c r="F10" s="360"/>
      <c r="G10" s="360"/>
      <c r="H10" s="360"/>
      <c r="I10" s="360" t="s">
        <v>811</v>
      </c>
      <c r="J10" s="360"/>
      <c r="K10" s="360"/>
      <c r="L10" s="369">
        <f>SUM(L11+L77+L87+L96+L113+L144+L155+L167+L173+L192+L202+L208+L216+L228+L240+L246+L286+L306+L319+L325+L332)</f>
        <v>954197.56</v>
      </c>
      <c r="M10" s="369">
        <f>SUM(M11+M77+M87+M96+M113+M144+M155+M167+M173+M192+M202+M208+M216+M228+M240+M246+M286+M306+M319+M325+M332)</f>
        <v>2409715.9699999993</v>
      </c>
      <c r="N10" s="369">
        <f>SUM(N11+N77+N87+N96+N113+N144+N155+N167+N173+N192+N202+N208+N216+N228+N240+N246+N286+N306+N319+N325+N332)</f>
        <v>3925000</v>
      </c>
      <c r="O10" s="369">
        <f>SUM(O11+O77+O87+O96+O113+O144+O155+O167+O173+O192+O202+O208+O216+O228+O240+O246+O286+O306+O319+O325+O332)</f>
        <v>2862700</v>
      </c>
      <c r="P10" s="369">
        <f>SUM(P11+P77+P87+P96+P113+P144+P155+P167+P173+P192+P202+P208+P216+P228+P240+P246+P286+P306+P319+P325+P332)</f>
        <v>2409715.9699999993</v>
      </c>
      <c r="Q10" s="370">
        <f>IFERROR(SUM(P10/L10),0)</f>
        <v>2.5253847536562546</v>
      </c>
      <c r="R10" s="370">
        <f>IFERROR(SUM(P10/M10),0)</f>
        <v>1</v>
      </c>
      <c r="S10" s="370">
        <f>IFERROR(SUM(P10/O10),0)</f>
        <v>0.84176335976525629</v>
      </c>
      <c r="T10" s="375"/>
      <c r="U10" s="372"/>
      <c r="V10" s="373"/>
      <c r="W10" s="373"/>
      <c r="X10" s="373"/>
      <c r="Y10" s="373"/>
      <c r="Z10" s="373"/>
      <c r="AA10" s="373"/>
      <c r="AB10" s="373"/>
    </row>
    <row r="11" spans="1:28" s="374" customFormat="1" ht="21.75" thickTop="1" thickBot="1" x14ac:dyDescent="0.35">
      <c r="A11" s="368"/>
      <c r="B11" s="376">
        <v>1</v>
      </c>
      <c r="C11" s="376">
        <v>2</v>
      </c>
      <c r="D11" s="376">
        <v>3</v>
      </c>
      <c r="E11" s="376">
        <v>4</v>
      </c>
      <c r="F11" s="376"/>
      <c r="G11" s="376"/>
      <c r="H11" s="376"/>
      <c r="I11" s="360" t="s">
        <v>813</v>
      </c>
      <c r="J11" s="360"/>
      <c r="K11" s="360"/>
      <c r="L11" s="369">
        <f>SUM(L13+L61+L65+L69+L73)</f>
        <v>213514.22999999998</v>
      </c>
      <c r="M11" s="369">
        <f>SUM(M13+M61+M65+M69+M73)</f>
        <v>563460.0199999999</v>
      </c>
      <c r="N11" s="369">
        <f>SUM(N13+N61+N65+N69+N73)</f>
        <v>643000</v>
      </c>
      <c r="O11" s="369">
        <f>SUM(O13+O61+O65+O69+O73)</f>
        <v>732300</v>
      </c>
      <c r="P11" s="369">
        <f>SUM(P13+P61+P65+P69+P73)</f>
        <v>563460.0199999999</v>
      </c>
      <c r="Q11" s="370">
        <f>IFERROR(SUM(P11/L11),0)</f>
        <v>2.6389811114697133</v>
      </c>
      <c r="R11" s="370">
        <f>IFERROR(SUM(P11/M11),0)</f>
        <v>1</v>
      </c>
      <c r="S11" s="370">
        <f>IFERROR(SUM(P11/O11),0)</f>
        <v>0.76943878191997805</v>
      </c>
      <c r="T11" s="375"/>
      <c r="U11" s="372"/>
      <c r="V11" s="373"/>
      <c r="W11" s="373"/>
      <c r="X11" s="373"/>
      <c r="Y11" s="373"/>
      <c r="Z11" s="373"/>
      <c r="AA11" s="373"/>
      <c r="AB11" s="373"/>
    </row>
    <row r="12" spans="1:28" s="273" customFormat="1" ht="21" thickTop="1" x14ac:dyDescent="0.3">
      <c r="A12" s="377"/>
      <c r="B12" s="472" t="s">
        <v>815</v>
      </c>
      <c r="C12" s="472"/>
      <c r="D12" s="472"/>
      <c r="E12" s="472"/>
      <c r="F12" s="472"/>
      <c r="G12" s="472"/>
      <c r="H12" s="472"/>
      <c r="I12" s="472"/>
      <c r="J12" s="472"/>
      <c r="K12" s="472"/>
      <c r="L12" s="379"/>
      <c r="M12" s="379"/>
      <c r="N12" s="379"/>
      <c r="O12" s="379"/>
      <c r="P12" s="379"/>
      <c r="Q12" s="380"/>
      <c r="R12" s="380"/>
      <c r="S12" s="380"/>
      <c r="T12" s="381"/>
      <c r="U12" s="382"/>
      <c r="V12" s="383"/>
      <c r="W12" s="383"/>
      <c r="X12" s="383"/>
      <c r="Y12" s="383"/>
      <c r="Z12" s="383"/>
      <c r="AA12" s="383"/>
      <c r="AB12" s="383"/>
    </row>
    <row r="13" spans="1:28" s="273" customFormat="1" x14ac:dyDescent="0.3">
      <c r="A13" s="377"/>
      <c r="B13" s="472">
        <v>3</v>
      </c>
      <c r="C13" s="472"/>
      <c r="D13" s="472"/>
      <c r="E13" s="472"/>
      <c r="F13" s="472"/>
      <c r="G13" s="472"/>
      <c r="H13" s="472"/>
      <c r="I13" s="472"/>
      <c r="J13" s="384"/>
      <c r="K13" s="273" t="s">
        <v>20</v>
      </c>
      <c r="L13" s="379">
        <f>SUM(L14+L22+L54+L56+L58)</f>
        <v>207717.58</v>
      </c>
      <c r="M13" s="379">
        <f>SUM(M14+M22+M54+M56+M58)</f>
        <v>514723.21999999991</v>
      </c>
      <c r="N13" s="379">
        <f>SUM(N14+N22+N54+N56+N58)</f>
        <v>595000</v>
      </c>
      <c r="O13" s="379">
        <f>SUM(O14+O22+O54+O56+O58)</f>
        <v>680800</v>
      </c>
      <c r="P13" s="379">
        <f>SUM(P14+P22+P54+P56+P58)</f>
        <v>514723.21999999991</v>
      </c>
      <c r="Q13" s="380">
        <f t="shared" ref="Q13:Q59" si="0">IFERROR(SUM(P13/L13),0)</f>
        <v>2.477995459026626</v>
      </c>
      <c r="R13" s="380">
        <f t="shared" ref="R13:R59" si="1">IFERROR(SUM(P13/M13),0)</f>
        <v>1</v>
      </c>
      <c r="S13" s="380">
        <f t="shared" ref="S13:S59" si="2">IFERROR(SUM(P13/O13),0)</f>
        <v>0.7560564336075204</v>
      </c>
      <c r="T13" s="381"/>
      <c r="U13" s="383">
        <v>31</v>
      </c>
      <c r="V13" s="382">
        <f>SUM(N16+N18+N20+N21+N251+N253+N254+N256+N257)</f>
        <v>384000</v>
      </c>
      <c r="W13" s="383"/>
      <c r="X13" s="383"/>
      <c r="Y13" s="383"/>
      <c r="Z13" s="383"/>
      <c r="AA13" s="383"/>
      <c r="AB13" s="383"/>
    </row>
    <row r="14" spans="1:28" s="273" customFormat="1" x14ac:dyDescent="0.3">
      <c r="A14" s="377"/>
      <c r="B14" s="472">
        <v>31</v>
      </c>
      <c r="C14" s="472"/>
      <c r="D14" s="472"/>
      <c r="E14" s="472"/>
      <c r="F14" s="472"/>
      <c r="G14" s="472"/>
      <c r="H14" s="472"/>
      <c r="I14" s="472"/>
      <c r="J14" s="384"/>
      <c r="K14" s="273" t="s">
        <v>0</v>
      </c>
      <c r="L14" s="379">
        <f>SUM(L15+L17+L19)</f>
        <v>56785.45</v>
      </c>
      <c r="M14" s="379">
        <f>SUM(M15+M17+M19)</f>
        <v>106149.03</v>
      </c>
      <c r="N14" s="379">
        <f>SUM(N15+N17+N19)</f>
        <v>157000</v>
      </c>
      <c r="O14" s="379">
        <f>SUM(O15+O17+O19)</f>
        <v>156200</v>
      </c>
      <c r="P14" s="379">
        <f>SUM(P15+P17+P19)</f>
        <v>106149.03</v>
      </c>
      <c r="Q14" s="380">
        <f t="shared" si="0"/>
        <v>1.8692997942254574</v>
      </c>
      <c r="R14" s="380">
        <f t="shared" si="1"/>
        <v>1</v>
      </c>
      <c r="S14" s="380">
        <f t="shared" si="2"/>
        <v>0.67957125480153646</v>
      </c>
      <c r="T14" s="381"/>
      <c r="U14" s="383">
        <v>321</v>
      </c>
      <c r="V14" s="382" t="e">
        <f>SUM(N24+N25+N26+N27++#REF!+#REF!+N261)</f>
        <v>#REF!</v>
      </c>
      <c r="W14" s="383"/>
      <c r="X14" s="383"/>
      <c r="Y14" s="383"/>
      <c r="Z14" s="383"/>
      <c r="AA14" s="383"/>
      <c r="AB14" s="383"/>
    </row>
    <row r="15" spans="1:28" s="273" customFormat="1" x14ac:dyDescent="0.3">
      <c r="A15" s="377"/>
      <c r="B15" s="472">
        <v>311</v>
      </c>
      <c r="C15" s="472"/>
      <c r="D15" s="472"/>
      <c r="E15" s="472"/>
      <c r="F15" s="472"/>
      <c r="G15" s="472"/>
      <c r="H15" s="472"/>
      <c r="I15" s="472"/>
      <c r="J15" s="384"/>
      <c r="K15" s="273" t="s">
        <v>72</v>
      </c>
      <c r="L15" s="379">
        <f>SUM(L16)</f>
        <v>35843.82</v>
      </c>
      <c r="M15" s="379">
        <f>SUM(M16)</f>
        <v>68705.789999999994</v>
      </c>
      <c r="N15" s="379">
        <f>SUM(N16)</f>
        <v>93000</v>
      </c>
      <c r="O15" s="379">
        <f>SUM(O16)</f>
        <v>93000</v>
      </c>
      <c r="P15" s="379">
        <f>SUM(P16)</f>
        <v>68705.789999999994</v>
      </c>
      <c r="Q15" s="380">
        <f t="shared" si="0"/>
        <v>1.9168099270669252</v>
      </c>
      <c r="R15" s="380">
        <f t="shared" si="1"/>
        <v>1</v>
      </c>
      <c r="S15" s="380">
        <f t="shared" si="2"/>
        <v>0.73877193548387088</v>
      </c>
      <c r="T15" s="385"/>
      <c r="U15" s="383">
        <v>322</v>
      </c>
      <c r="V15" s="382">
        <f>SUM(N29+N30+N31+N32+N33+N118+N263)</f>
        <v>134000</v>
      </c>
      <c r="W15" s="383"/>
      <c r="X15" s="383"/>
      <c r="Y15" s="383"/>
      <c r="Z15" s="383"/>
      <c r="AA15" s="383"/>
      <c r="AB15" s="383"/>
    </row>
    <row r="16" spans="1:28" s="336" customFormat="1" x14ac:dyDescent="0.3">
      <c r="A16" s="386">
        <v>1</v>
      </c>
      <c r="B16" s="471">
        <v>311</v>
      </c>
      <c r="C16" s="471"/>
      <c r="D16" s="471"/>
      <c r="E16" s="471"/>
      <c r="F16" s="471"/>
      <c r="G16" s="471"/>
      <c r="H16" s="471"/>
      <c r="I16" s="471"/>
      <c r="J16" s="388" t="s">
        <v>507</v>
      </c>
      <c r="K16" s="336" t="s">
        <v>72</v>
      </c>
      <c r="L16" s="389">
        <f>SUM('RASHODI ZA VIJEĆE'!E21+'RASHODI ZA VIJEĆE'!E23)</f>
        <v>35843.82</v>
      </c>
      <c r="M16" s="389">
        <f>SUM('RASHODI ZA VIJEĆE'!F21+'RASHODI ZA VIJEĆE'!F23)</f>
        <v>68705.789999999994</v>
      </c>
      <c r="N16" s="389">
        <f>SUM('RASHODI ZA VIJEĆE'!G21+'RASHODI ZA VIJEĆE'!G23)</f>
        <v>93000</v>
      </c>
      <c r="O16" s="389">
        <f>SUM('RASHODI ZA VIJEĆE'!H21+'RASHODI ZA VIJEĆE'!H23)</f>
        <v>93000</v>
      </c>
      <c r="P16" s="389">
        <f>SUM('RASHODI ZA VIJEĆE'!I21+'RASHODI ZA VIJEĆE'!I23)</f>
        <v>68705.789999999994</v>
      </c>
      <c r="Q16" s="390">
        <f t="shared" si="0"/>
        <v>1.9168099270669252</v>
      </c>
      <c r="R16" s="390">
        <f t="shared" si="1"/>
        <v>1</v>
      </c>
      <c r="S16" s="390">
        <f t="shared" si="2"/>
        <v>0.73877193548387088</v>
      </c>
      <c r="T16" s="391" t="s">
        <v>463</v>
      </c>
      <c r="U16" s="392">
        <v>323</v>
      </c>
      <c r="V16" s="393" t="e">
        <f>SUM(N35+N36+N37+N38+N39+N40+N41+N42+N43+N44+N82+N84+N85+#REF!+#REF!+#REF!+N120++N121+N122+#REF!+#REF!+#REF!+#REF!+#REF!+#REF!+#REF!+N148+N149+#REF!+N150+N153+#REF!+#REF!+N162+#REF!+N177+N178+#REF!+#REF!+#REF!+N265)</f>
        <v>#REF!</v>
      </c>
      <c r="W16" s="392"/>
      <c r="X16" s="392"/>
      <c r="Y16" s="392"/>
      <c r="Z16" s="392"/>
      <c r="AA16" s="392"/>
      <c r="AB16" s="392"/>
    </row>
    <row r="17" spans="1:28" s="273" customFormat="1" x14ac:dyDescent="0.3">
      <c r="A17" s="377"/>
      <c r="B17" s="472">
        <v>312</v>
      </c>
      <c r="C17" s="472"/>
      <c r="D17" s="472"/>
      <c r="E17" s="472"/>
      <c r="F17" s="472"/>
      <c r="G17" s="472"/>
      <c r="H17" s="472"/>
      <c r="I17" s="472"/>
      <c r="J17" s="384"/>
      <c r="K17" s="273" t="s">
        <v>4</v>
      </c>
      <c r="L17" s="379">
        <f>SUM(L18)</f>
        <v>4589.78</v>
      </c>
      <c r="M17" s="379">
        <f>SUM(M18)</f>
        <v>6111.56</v>
      </c>
      <c r="N17" s="379">
        <f>SUM(N18)</f>
        <v>15000</v>
      </c>
      <c r="O17" s="379">
        <f>SUM(O18)</f>
        <v>14200</v>
      </c>
      <c r="P17" s="379">
        <f>SUM(P18)</f>
        <v>6111.56</v>
      </c>
      <c r="Q17" s="380">
        <f t="shared" si="0"/>
        <v>1.3315583753469666</v>
      </c>
      <c r="R17" s="380">
        <f t="shared" si="1"/>
        <v>1</v>
      </c>
      <c r="S17" s="380">
        <f t="shared" si="2"/>
        <v>0.43039154929577467</v>
      </c>
      <c r="T17" s="381"/>
      <c r="U17" s="383"/>
      <c r="V17" s="383"/>
      <c r="W17" s="383"/>
      <c r="X17" s="383"/>
      <c r="Y17" s="383"/>
      <c r="Z17" s="383"/>
      <c r="AA17" s="383"/>
      <c r="AB17" s="383"/>
    </row>
    <row r="18" spans="1:28" s="336" customFormat="1" x14ac:dyDescent="0.3">
      <c r="A18" s="386">
        <v>2</v>
      </c>
      <c r="B18" s="471">
        <v>312</v>
      </c>
      <c r="C18" s="471"/>
      <c r="D18" s="471"/>
      <c r="E18" s="471"/>
      <c r="F18" s="471"/>
      <c r="G18" s="471"/>
      <c r="H18" s="471"/>
      <c r="I18" s="471"/>
      <c r="J18" s="388" t="s">
        <v>507</v>
      </c>
      <c r="K18" s="336" t="s">
        <v>4</v>
      </c>
      <c r="L18" s="389">
        <f>SUM('RASHODI ZA VIJEĆE'!E26+'RASHODI ZA VIJEĆE'!E28+'RASHODI ZA VIJEĆE'!E29+'RASHODI ZA VIJEĆE'!E30)</f>
        <v>4589.78</v>
      </c>
      <c r="M18" s="389">
        <f>SUM('RASHODI ZA VIJEĆE'!F26+'RASHODI ZA VIJEĆE'!F28+'RASHODI ZA VIJEĆE'!F29+'RASHODI ZA VIJEĆE'!F30)</f>
        <v>6111.56</v>
      </c>
      <c r="N18" s="389">
        <f>SUM('RASHODI ZA VIJEĆE'!G26+'RASHODI ZA VIJEĆE'!G28+'RASHODI ZA VIJEĆE'!G29+'RASHODI ZA VIJEĆE'!G30)</f>
        <v>15000</v>
      </c>
      <c r="O18" s="389">
        <f>SUM('RASHODI ZA VIJEĆE'!H26+'RASHODI ZA VIJEĆE'!H28+'RASHODI ZA VIJEĆE'!H29+'RASHODI ZA VIJEĆE'!H30)</f>
        <v>14200</v>
      </c>
      <c r="P18" s="389">
        <f>SUM('RASHODI ZA VIJEĆE'!I26+'RASHODI ZA VIJEĆE'!I28+'RASHODI ZA VIJEĆE'!I29+'RASHODI ZA VIJEĆE'!I30)</f>
        <v>6111.56</v>
      </c>
      <c r="Q18" s="390">
        <f t="shared" si="0"/>
        <v>1.3315583753469666</v>
      </c>
      <c r="R18" s="390">
        <f t="shared" si="1"/>
        <v>1</v>
      </c>
      <c r="S18" s="390">
        <f t="shared" si="2"/>
        <v>0.43039154929577467</v>
      </c>
      <c r="T18" s="391" t="s">
        <v>464</v>
      </c>
      <c r="U18" s="392"/>
      <c r="V18" s="392"/>
      <c r="W18" s="392"/>
      <c r="X18" s="392"/>
      <c r="Y18" s="392"/>
      <c r="Z18" s="392"/>
      <c r="AA18" s="392"/>
      <c r="AB18" s="392"/>
    </row>
    <row r="19" spans="1:28" s="273" customFormat="1" x14ac:dyDescent="0.3">
      <c r="A19" s="377"/>
      <c r="B19" s="472">
        <v>313</v>
      </c>
      <c r="C19" s="472"/>
      <c r="D19" s="472"/>
      <c r="E19" s="472"/>
      <c r="F19" s="472"/>
      <c r="G19" s="472"/>
      <c r="H19" s="472"/>
      <c r="I19" s="472"/>
      <c r="J19" s="384"/>
      <c r="K19" s="273" t="s">
        <v>112</v>
      </c>
      <c r="L19" s="379">
        <f>SUM(L20:L21)</f>
        <v>16351.849999999999</v>
      </c>
      <c r="M19" s="379">
        <f>SUM(M20:M21)</f>
        <v>31331.68</v>
      </c>
      <c r="N19" s="379">
        <f>SUM(N20:N21)</f>
        <v>49000</v>
      </c>
      <c r="O19" s="379">
        <f>SUM(O20:O21)</f>
        <v>49000</v>
      </c>
      <c r="P19" s="379">
        <f>SUM(P20:P21)</f>
        <v>31331.68</v>
      </c>
      <c r="Q19" s="380">
        <f t="shared" si="0"/>
        <v>1.9160938976323783</v>
      </c>
      <c r="R19" s="380">
        <f t="shared" si="1"/>
        <v>1</v>
      </c>
      <c r="S19" s="380">
        <f t="shared" si="2"/>
        <v>0.63942204081632659</v>
      </c>
      <c r="T19" s="381"/>
      <c r="U19" s="383"/>
      <c r="V19" s="383"/>
      <c r="W19" s="383"/>
      <c r="X19" s="383"/>
      <c r="Y19" s="383"/>
      <c r="Z19" s="383"/>
      <c r="AA19" s="383"/>
      <c r="AB19" s="383"/>
    </row>
    <row r="20" spans="1:28" s="336" customFormat="1" x14ac:dyDescent="0.3">
      <c r="A20" s="386">
        <v>3</v>
      </c>
      <c r="B20" s="471">
        <v>313</v>
      </c>
      <c r="C20" s="471"/>
      <c r="D20" s="471"/>
      <c r="E20" s="471"/>
      <c r="F20" s="471"/>
      <c r="G20" s="471"/>
      <c r="H20" s="471"/>
      <c r="I20" s="471"/>
      <c r="J20" s="388" t="s">
        <v>507</v>
      </c>
      <c r="K20" s="336" t="s">
        <v>74</v>
      </c>
      <c r="L20" s="389">
        <f>SUM('RASHODI ZA VIJEĆE'!E34+'RASHODI ZA VIJEĆE'!E35+'RASHODI ZA VIJEĆE'!E37+'RASHODI ZA VIJEĆE'!E38)</f>
        <v>8959.9399999999987</v>
      </c>
      <c r="M20" s="389">
        <f>SUM('RASHODI ZA VIJEĆE'!F34+'RASHODI ZA VIJEĆE'!F35+'RASHODI ZA VIJEĆE'!F37+'RASHODI ZA VIJEĆE'!F38)</f>
        <v>17163.91</v>
      </c>
      <c r="N20" s="389">
        <f>SUM('RASHODI ZA VIJEĆE'!G34+'RASHODI ZA VIJEĆE'!G35+'RASHODI ZA VIJEĆE'!G37+'RASHODI ZA VIJEĆE'!G38)</f>
        <v>29000</v>
      </c>
      <c r="O20" s="389">
        <f>SUM('RASHODI ZA VIJEĆE'!H34+'RASHODI ZA VIJEĆE'!H35+'RASHODI ZA VIJEĆE'!H37+'RASHODI ZA VIJEĆE'!H38)</f>
        <v>29000</v>
      </c>
      <c r="P20" s="389">
        <f>SUM('RASHODI ZA VIJEĆE'!I34+'RASHODI ZA VIJEĆE'!I35+'RASHODI ZA VIJEĆE'!I37+'RASHODI ZA VIJEĆE'!I38)</f>
        <v>17163.91</v>
      </c>
      <c r="Q20" s="390">
        <f t="shared" si="0"/>
        <v>1.915627783221763</v>
      </c>
      <c r="R20" s="390">
        <f t="shared" si="1"/>
        <v>1</v>
      </c>
      <c r="S20" s="390">
        <f t="shared" si="2"/>
        <v>0.59185896551724138</v>
      </c>
      <c r="T20" s="391" t="s">
        <v>465</v>
      </c>
      <c r="U20" s="392"/>
      <c r="V20" s="392"/>
      <c r="W20" s="392"/>
      <c r="X20" s="392"/>
      <c r="Y20" s="392"/>
      <c r="Z20" s="392"/>
      <c r="AA20" s="392"/>
      <c r="AB20" s="392"/>
    </row>
    <row r="21" spans="1:28" s="336" customFormat="1" x14ac:dyDescent="0.3">
      <c r="A21" s="386">
        <v>4</v>
      </c>
      <c r="B21" s="471">
        <v>313</v>
      </c>
      <c r="C21" s="471"/>
      <c r="D21" s="471"/>
      <c r="E21" s="471"/>
      <c r="F21" s="471"/>
      <c r="G21" s="471"/>
      <c r="H21" s="471"/>
      <c r="I21" s="471"/>
      <c r="J21" s="388" t="s">
        <v>507</v>
      </c>
      <c r="K21" s="336" t="s">
        <v>71</v>
      </c>
      <c r="L21" s="389">
        <f>SUM('RASHODI ZA VIJEĆE'!E41+'RASHODI ZA VIJEĆE'!E42)</f>
        <v>7391.91</v>
      </c>
      <c r="M21" s="389">
        <f>SUM('RASHODI ZA VIJEĆE'!F41+'RASHODI ZA VIJEĆE'!F42)</f>
        <v>14167.77</v>
      </c>
      <c r="N21" s="389">
        <f>SUM('RASHODI ZA VIJEĆE'!G41+'RASHODI ZA VIJEĆE'!G42)</f>
        <v>20000</v>
      </c>
      <c r="O21" s="389">
        <f>SUM('RASHODI ZA VIJEĆE'!H41+'RASHODI ZA VIJEĆE'!H42)</f>
        <v>20000</v>
      </c>
      <c r="P21" s="389">
        <f>SUM('RASHODI ZA VIJEĆE'!I41+'RASHODI ZA VIJEĆE'!I42)</f>
        <v>14167.77</v>
      </c>
      <c r="Q21" s="390">
        <f t="shared" si="0"/>
        <v>1.9166588878923039</v>
      </c>
      <c r="R21" s="390">
        <f t="shared" si="1"/>
        <v>1</v>
      </c>
      <c r="S21" s="390">
        <f t="shared" si="2"/>
        <v>0.70838849999999998</v>
      </c>
      <c r="T21" s="391" t="s">
        <v>466</v>
      </c>
      <c r="U21" s="392"/>
      <c r="V21" s="393" t="e">
        <f>SUM(N16+N18+N20+N21+N24+N25+N26+N27+N29+N30+N31+N32+N33+N35+N36+N37+N38+N39+N40+N41+N42+N43+N44+#REF!+N46+N47+N48+N49+N50+N51+N53+#REF!+N55+N57+#REF!+N59+N63+N67+N82+N84+N85+#REF!+#REF!+#REF!+N91+N105+N106+N107+N108+N109+N110+#REF!+#REF!+N111+N118+N120+N121+N122+#REF!+#REF!+#REF!+#REF!+#REF!+#REF!+#REF!+N148+N149+#REF!+N150+N153+#REF!+#REF!+N158+N162+N163+N165+#REF!+N171+#REF!+N177+N178+#REF!+#REF!+#REF!+N200+N206+#REF!+N212+N220+N224+N225+N226+N236+N237+N238+#REF!+#REF!+N251+N253+N254+N256+N257+#REF!+#REF!+N263+N272+N273+N274+N275+N276+N277+N278+N279+N280+N302+N303+N304+N310+N311+N316+N323+N330+N336+N347+N350+N352+#REF!+N355+N356+N359+N360+N361+N362+#REF!+N364+N365+N366+N367+N368+N369+N370+#REF!+N373+N376+#REF!)</f>
        <v>#REF!</v>
      </c>
      <c r="W21" s="392"/>
      <c r="X21" s="392"/>
      <c r="Y21" s="392"/>
      <c r="Z21" s="392"/>
      <c r="AA21" s="392"/>
      <c r="AB21" s="392"/>
    </row>
    <row r="22" spans="1:28" s="322" customFormat="1" x14ac:dyDescent="0.3">
      <c r="A22" s="394"/>
      <c r="B22" s="472">
        <v>32</v>
      </c>
      <c r="C22" s="472"/>
      <c r="D22" s="472"/>
      <c r="E22" s="472"/>
      <c r="F22" s="472"/>
      <c r="G22" s="472"/>
      <c r="H22" s="472"/>
      <c r="I22" s="472"/>
      <c r="J22" s="395"/>
      <c r="K22" s="273" t="s">
        <v>3</v>
      </c>
      <c r="L22" s="379">
        <f>SUM(L23+L28+L34+L45)</f>
        <v>148475.79</v>
      </c>
      <c r="M22" s="379">
        <f>SUM(M23+M28+M34+M45)</f>
        <v>377662.12999999995</v>
      </c>
      <c r="N22" s="379">
        <f>SUM(N23+N28+N34+N45)</f>
        <v>428500</v>
      </c>
      <c r="O22" s="379">
        <f>SUM(O23+O28+O34+O45)</f>
        <v>492100</v>
      </c>
      <c r="P22" s="379">
        <f>SUM(P23+P28+P34+P45)</f>
        <v>377662.12999999995</v>
      </c>
      <c r="Q22" s="380">
        <f t="shared" si="0"/>
        <v>2.5435940095014811</v>
      </c>
      <c r="R22" s="380">
        <f t="shared" si="1"/>
        <v>1</v>
      </c>
      <c r="S22" s="380">
        <f t="shared" si="2"/>
        <v>0.76744996951839051</v>
      </c>
      <c r="T22" s="381"/>
      <c r="U22" s="357"/>
      <c r="V22" s="357"/>
      <c r="W22" s="357"/>
      <c r="X22" s="357"/>
      <c r="Y22" s="357"/>
      <c r="Z22" s="357"/>
      <c r="AA22" s="357"/>
      <c r="AB22" s="357"/>
    </row>
    <row r="23" spans="1:28" s="322" customFormat="1" x14ac:dyDescent="0.3">
      <c r="A23" s="394"/>
      <c r="B23" s="472">
        <v>321</v>
      </c>
      <c r="C23" s="472"/>
      <c r="D23" s="472"/>
      <c r="E23" s="472"/>
      <c r="F23" s="472"/>
      <c r="G23" s="472"/>
      <c r="H23" s="472"/>
      <c r="I23" s="472"/>
      <c r="J23" s="395"/>
      <c r="K23" s="273" t="s">
        <v>1</v>
      </c>
      <c r="L23" s="379">
        <f>SUM(L24:L27)</f>
        <v>4433.29</v>
      </c>
      <c r="M23" s="379">
        <f>SUM(M24:M27)</f>
        <v>10126.35</v>
      </c>
      <c r="N23" s="379">
        <f>SUM(N24:N27)</f>
        <v>19500</v>
      </c>
      <c r="O23" s="379">
        <f>SUM(O24:O27)</f>
        <v>20600</v>
      </c>
      <c r="P23" s="379">
        <f>SUM(P24:P27)</f>
        <v>10126.35</v>
      </c>
      <c r="Q23" s="380">
        <f t="shared" si="0"/>
        <v>2.2841614241342207</v>
      </c>
      <c r="R23" s="380">
        <f t="shared" si="1"/>
        <v>1</v>
      </c>
      <c r="S23" s="380">
        <f t="shared" si="2"/>
        <v>0.49157038834951455</v>
      </c>
      <c r="T23" s="381"/>
      <c r="U23" s="357"/>
      <c r="V23" s="357"/>
      <c r="W23" s="357"/>
      <c r="X23" s="357"/>
      <c r="Y23" s="357"/>
      <c r="Z23" s="357"/>
      <c r="AA23" s="357"/>
      <c r="AB23" s="357"/>
    </row>
    <row r="24" spans="1:28" s="336" customFormat="1" x14ac:dyDescent="0.3">
      <c r="A24" s="386">
        <v>5</v>
      </c>
      <c r="B24" s="471">
        <v>321</v>
      </c>
      <c r="C24" s="471"/>
      <c r="D24" s="471"/>
      <c r="E24" s="471"/>
      <c r="F24" s="471"/>
      <c r="G24" s="471"/>
      <c r="H24" s="471"/>
      <c r="I24" s="471"/>
      <c r="J24" s="388" t="s">
        <v>507</v>
      </c>
      <c r="K24" s="336" t="s">
        <v>70</v>
      </c>
      <c r="L24" s="389">
        <f>SUM('RASHODI ZA VIJEĆE'!E47+'RASHODI ZA VIJEĆE'!E48+'RASHODI ZA VIJEĆE'!E49+'RASHODI ZA VIJEĆE'!E50+'RASHODI ZA VIJEĆE'!E51)</f>
        <v>215.15</v>
      </c>
      <c r="M24" s="389">
        <f>SUM('RASHODI ZA VIJEĆE'!F47+'RASHODI ZA VIJEĆE'!F48+'RASHODI ZA VIJEĆE'!F49+'RASHODI ZA VIJEĆE'!F50+'RASHODI ZA VIJEĆE'!F51)</f>
        <v>773.63</v>
      </c>
      <c r="N24" s="389">
        <f>SUM('RASHODI ZA VIJEĆE'!G47+'RASHODI ZA VIJEĆE'!G48+'RASHODI ZA VIJEĆE'!G49+'RASHODI ZA VIJEĆE'!G50+'RASHODI ZA VIJEĆE'!G51)</f>
        <v>3500</v>
      </c>
      <c r="O24" s="389">
        <f>SUM('RASHODI ZA VIJEĆE'!H47+'RASHODI ZA VIJEĆE'!H48+'RASHODI ZA VIJEĆE'!H49+'RASHODI ZA VIJEĆE'!H50+'RASHODI ZA VIJEĆE'!H51)</f>
        <v>3000</v>
      </c>
      <c r="P24" s="389">
        <f>SUM('RASHODI ZA VIJEĆE'!I47+'RASHODI ZA VIJEĆE'!I48+'RASHODI ZA VIJEĆE'!I49+'RASHODI ZA VIJEĆE'!I50+'RASHODI ZA VIJEĆE'!I51)</f>
        <v>773.63</v>
      </c>
      <c r="Q24" s="390">
        <f t="shared" si="0"/>
        <v>3.5957703927492446</v>
      </c>
      <c r="R24" s="390">
        <f t="shared" si="1"/>
        <v>1</v>
      </c>
      <c r="S24" s="390">
        <f t="shared" si="2"/>
        <v>0.25787666666666664</v>
      </c>
      <c r="T24" s="391" t="s">
        <v>467</v>
      </c>
      <c r="U24" s="392"/>
      <c r="V24" s="392"/>
      <c r="W24" s="392"/>
      <c r="X24" s="392"/>
      <c r="Y24" s="392"/>
      <c r="Z24" s="392"/>
      <c r="AA24" s="392"/>
      <c r="AB24" s="393"/>
    </row>
    <row r="25" spans="1:28" s="336" customFormat="1" x14ac:dyDescent="0.3">
      <c r="A25" s="386">
        <v>6</v>
      </c>
      <c r="B25" s="471">
        <v>321</v>
      </c>
      <c r="C25" s="471"/>
      <c r="D25" s="471"/>
      <c r="E25" s="471"/>
      <c r="F25" s="471"/>
      <c r="G25" s="471"/>
      <c r="H25" s="471"/>
      <c r="I25" s="471"/>
      <c r="J25" s="388" t="s">
        <v>507</v>
      </c>
      <c r="K25" s="336" t="s">
        <v>451</v>
      </c>
      <c r="L25" s="389">
        <f>SUM('RASHODI ZA VIJEĆE'!E53)</f>
        <v>221.8</v>
      </c>
      <c r="M25" s="389">
        <f>SUM('RASHODI ZA VIJEĆE'!F53)</f>
        <v>520.46</v>
      </c>
      <c r="N25" s="389">
        <f>SUM('RASHODI ZA VIJEĆE'!G53)</f>
        <v>1500</v>
      </c>
      <c r="O25" s="389">
        <f>SUM('RASHODI ZA VIJEĆE'!H53)</f>
        <v>600</v>
      </c>
      <c r="P25" s="389">
        <f>SUM('RASHODI ZA VIJEĆE'!I53)</f>
        <v>520.46</v>
      </c>
      <c r="Q25" s="390">
        <f t="shared" si="0"/>
        <v>2.3465284039675383</v>
      </c>
      <c r="R25" s="390">
        <f t="shared" si="1"/>
        <v>1</v>
      </c>
      <c r="S25" s="390">
        <f t="shared" si="2"/>
        <v>0.86743333333333339</v>
      </c>
      <c r="T25" s="391">
        <v>51</v>
      </c>
      <c r="U25" s="392"/>
      <c r="V25" s="392"/>
      <c r="W25" s="392"/>
      <c r="X25" s="392"/>
      <c r="Y25" s="392"/>
      <c r="Z25" s="392"/>
      <c r="AA25" s="392"/>
      <c r="AB25" s="393"/>
    </row>
    <row r="26" spans="1:28" s="336" customFormat="1" x14ac:dyDescent="0.3">
      <c r="A26" s="386">
        <v>7</v>
      </c>
      <c r="B26" s="471">
        <v>321</v>
      </c>
      <c r="C26" s="471"/>
      <c r="D26" s="471"/>
      <c r="E26" s="471"/>
      <c r="F26" s="471"/>
      <c r="G26" s="471"/>
      <c r="H26" s="471"/>
      <c r="I26" s="471"/>
      <c r="J26" s="388" t="s">
        <v>507</v>
      </c>
      <c r="K26" s="336" t="s">
        <v>75</v>
      </c>
      <c r="L26" s="389">
        <f>SUM('RASHODI ZA VIJEĆE'!E56+'RASHODI ZA VIJEĆE'!E59)</f>
        <v>401.54</v>
      </c>
      <c r="M26" s="389">
        <f>SUM('RASHODI ZA VIJEĆE'!F56+'RASHODI ZA VIJEĆE'!F59)</f>
        <v>1121.44</v>
      </c>
      <c r="N26" s="389">
        <f>SUM('RASHODI ZA VIJEĆE'!G56+'RASHODI ZA VIJEĆE'!G59)</f>
        <v>7000</v>
      </c>
      <c r="O26" s="389">
        <f>SUM('RASHODI ZA VIJEĆE'!H56+'RASHODI ZA VIJEĆE'!H59)</f>
        <v>5500</v>
      </c>
      <c r="P26" s="389">
        <f>SUM('RASHODI ZA VIJEĆE'!I56+'RASHODI ZA VIJEĆE'!I59)</f>
        <v>1121.44</v>
      </c>
      <c r="Q26" s="390">
        <f t="shared" si="0"/>
        <v>2.7928475369826171</v>
      </c>
      <c r="R26" s="390">
        <f t="shared" si="1"/>
        <v>1</v>
      </c>
      <c r="S26" s="390">
        <f t="shared" si="2"/>
        <v>0.20389818181818184</v>
      </c>
      <c r="T26" s="391">
        <v>54</v>
      </c>
      <c r="U26" s="392"/>
      <c r="V26" s="392"/>
      <c r="W26" s="392"/>
      <c r="X26" s="392"/>
      <c r="Y26" s="392"/>
      <c r="Z26" s="392"/>
      <c r="AA26" s="392"/>
      <c r="AB26" s="392"/>
    </row>
    <row r="27" spans="1:28" s="336" customFormat="1" x14ac:dyDescent="0.3">
      <c r="A27" s="386">
        <v>8</v>
      </c>
      <c r="B27" s="471">
        <v>321</v>
      </c>
      <c r="C27" s="471"/>
      <c r="D27" s="471"/>
      <c r="E27" s="471"/>
      <c r="F27" s="471"/>
      <c r="G27" s="471"/>
      <c r="H27" s="471"/>
      <c r="I27" s="471"/>
      <c r="J27" s="388" t="s">
        <v>507</v>
      </c>
      <c r="K27" s="336" t="s">
        <v>177</v>
      </c>
      <c r="L27" s="389">
        <f>SUM('RASHODI ZA VIJEĆE'!E61+'RASHODI ZA VIJEĆE'!E63)</f>
        <v>3594.8</v>
      </c>
      <c r="M27" s="389">
        <f>SUM('RASHODI ZA VIJEĆE'!F61+'RASHODI ZA VIJEĆE'!F63)</f>
        <v>7710.82</v>
      </c>
      <c r="N27" s="389">
        <f>SUM('RASHODI ZA VIJEĆE'!G61+'RASHODI ZA VIJEĆE'!G63)</f>
        <v>7500</v>
      </c>
      <c r="O27" s="389">
        <f>SUM('RASHODI ZA VIJEĆE'!H61+'RASHODI ZA VIJEĆE'!H63)</f>
        <v>11500</v>
      </c>
      <c r="P27" s="389">
        <f>SUM('RASHODI ZA VIJEĆE'!I61+'RASHODI ZA VIJEĆE'!I63)</f>
        <v>7710.82</v>
      </c>
      <c r="Q27" s="390">
        <f t="shared" si="0"/>
        <v>2.1449927673305886</v>
      </c>
      <c r="R27" s="390">
        <f t="shared" si="1"/>
        <v>1</v>
      </c>
      <c r="S27" s="390">
        <f t="shared" si="2"/>
        <v>0.6705060869565217</v>
      </c>
      <c r="T27" s="391" t="s">
        <v>495</v>
      </c>
      <c r="U27" s="392"/>
      <c r="V27" s="392"/>
      <c r="W27" s="392"/>
      <c r="X27" s="392"/>
      <c r="Y27" s="392"/>
      <c r="Z27" s="392"/>
      <c r="AA27" s="392"/>
      <c r="AB27" s="392"/>
    </row>
    <row r="28" spans="1:28" s="273" customFormat="1" x14ac:dyDescent="0.3">
      <c r="A28" s="377"/>
      <c r="B28" s="472">
        <v>322</v>
      </c>
      <c r="C28" s="472"/>
      <c r="D28" s="472"/>
      <c r="E28" s="472"/>
      <c r="F28" s="472"/>
      <c r="G28" s="472"/>
      <c r="H28" s="472"/>
      <c r="I28" s="472"/>
      <c r="J28" s="384"/>
      <c r="K28" s="273" t="s">
        <v>6</v>
      </c>
      <c r="L28" s="379">
        <f>SUM(L29:L33)</f>
        <v>34429.97</v>
      </c>
      <c r="M28" s="379">
        <f>SUM(M29:M33)</f>
        <v>69292.929999999993</v>
      </c>
      <c r="N28" s="379">
        <f>SUM(N29:N33)</f>
        <v>97000</v>
      </c>
      <c r="O28" s="379">
        <f>SUM(O29:O33)</f>
        <v>88600</v>
      </c>
      <c r="P28" s="379">
        <f>SUM(P29:P33)</f>
        <v>69292.929999999993</v>
      </c>
      <c r="Q28" s="380">
        <f t="shared" si="0"/>
        <v>2.0125759621631967</v>
      </c>
      <c r="R28" s="380">
        <f t="shared" si="1"/>
        <v>1</v>
      </c>
      <c r="S28" s="380">
        <f t="shared" si="2"/>
        <v>0.78208724604966129</v>
      </c>
      <c r="T28" s="381"/>
      <c r="U28" s="383"/>
      <c r="V28" s="383"/>
      <c r="W28" s="383"/>
      <c r="X28" s="383"/>
      <c r="Y28" s="383"/>
      <c r="Z28" s="383"/>
      <c r="AA28" s="383"/>
      <c r="AB28" s="383"/>
    </row>
    <row r="29" spans="1:28" s="336" customFormat="1" x14ac:dyDescent="0.3">
      <c r="A29" s="386">
        <v>9</v>
      </c>
      <c r="B29" s="471">
        <v>322</v>
      </c>
      <c r="C29" s="471"/>
      <c r="D29" s="471"/>
      <c r="E29" s="471"/>
      <c r="F29" s="471"/>
      <c r="G29" s="471"/>
      <c r="H29" s="471"/>
      <c r="I29" s="471"/>
      <c r="J29" s="388" t="s">
        <v>505</v>
      </c>
      <c r="K29" s="336" t="s">
        <v>69</v>
      </c>
      <c r="L29" s="389">
        <f>SUM('RASHODI ZA VIJEĆE'!E66+'RASHODI ZA VIJEĆE'!E67+'RASHODI ZA VIJEĆE'!E68+'RASHODI ZA VIJEĆE'!E69+'RASHODI ZA VIJEĆE'!E70+'RASHODI ZA VIJEĆE'!E71+'RASHODI ZA VIJEĆE'!E72)</f>
        <v>8860.6</v>
      </c>
      <c r="M29" s="389">
        <f>SUM('RASHODI ZA VIJEĆE'!F66+'RASHODI ZA VIJEĆE'!F67+'RASHODI ZA VIJEĆE'!F68+'RASHODI ZA VIJEĆE'!F69+'RASHODI ZA VIJEĆE'!F70+'RASHODI ZA VIJEĆE'!F71+'RASHODI ZA VIJEĆE'!F72)</f>
        <v>16603.190000000002</v>
      </c>
      <c r="N29" s="389">
        <f>SUM('RASHODI ZA VIJEĆE'!G66+'RASHODI ZA VIJEĆE'!G67+'RASHODI ZA VIJEĆE'!G68+'RASHODI ZA VIJEĆE'!G69+'RASHODI ZA VIJEĆE'!G70+'RASHODI ZA VIJEĆE'!G71+'RASHODI ZA VIJEĆE'!G72)</f>
        <v>18500</v>
      </c>
      <c r="O29" s="389">
        <f>SUM('RASHODI ZA VIJEĆE'!H66+'RASHODI ZA VIJEĆE'!H67+'RASHODI ZA VIJEĆE'!H68+'RASHODI ZA VIJEĆE'!H69+'RASHODI ZA VIJEĆE'!H70+'RASHODI ZA VIJEĆE'!H71+'RASHODI ZA VIJEĆE'!H72)</f>
        <v>21600</v>
      </c>
      <c r="P29" s="389">
        <f>SUM('RASHODI ZA VIJEĆE'!I66+'RASHODI ZA VIJEĆE'!I67+'RASHODI ZA VIJEĆE'!I68+'RASHODI ZA VIJEĆE'!I69+'RASHODI ZA VIJEĆE'!I70+'RASHODI ZA VIJEĆE'!I71+'RASHODI ZA VIJEĆE'!I72)</f>
        <v>16603.190000000002</v>
      </c>
      <c r="Q29" s="390">
        <f t="shared" si="0"/>
        <v>1.8738223145159472</v>
      </c>
      <c r="R29" s="390">
        <f t="shared" si="1"/>
        <v>1</v>
      </c>
      <c r="S29" s="390">
        <f t="shared" si="2"/>
        <v>0.76866620370370387</v>
      </c>
      <c r="T29" s="391" t="s">
        <v>468</v>
      </c>
      <c r="U29" s="392"/>
      <c r="V29" s="392"/>
      <c r="W29" s="392"/>
      <c r="X29" s="392"/>
      <c r="Y29" s="392"/>
      <c r="Z29" s="392"/>
      <c r="AA29" s="392"/>
      <c r="AB29" s="392"/>
    </row>
    <row r="30" spans="1:28" s="336" customFormat="1" x14ac:dyDescent="0.3">
      <c r="A30" s="386">
        <v>10</v>
      </c>
      <c r="B30" s="471">
        <v>322</v>
      </c>
      <c r="C30" s="471"/>
      <c r="D30" s="471"/>
      <c r="E30" s="471"/>
      <c r="F30" s="471"/>
      <c r="G30" s="471"/>
      <c r="H30" s="471"/>
      <c r="I30" s="471"/>
      <c r="J30" s="388" t="s">
        <v>503</v>
      </c>
      <c r="K30" s="336" t="s">
        <v>58</v>
      </c>
      <c r="L30" s="389">
        <f>SUM('RASHODI ZA VIJEĆE'!E76+'RASHODI ZA VIJEĆE'!E80+'RASHODI ZA VIJEĆE'!E82)</f>
        <v>21927.069999999996</v>
      </c>
      <c r="M30" s="389">
        <f>SUM('RASHODI ZA VIJEĆE'!F76+'RASHODI ZA VIJEĆE'!F80+'RASHODI ZA VIJEĆE'!F82)</f>
        <v>46269.819999999992</v>
      </c>
      <c r="N30" s="389">
        <f>SUM('RASHODI ZA VIJEĆE'!G76+'RASHODI ZA VIJEĆE'!G80+'RASHODI ZA VIJEĆE'!G82)</f>
        <v>59000</v>
      </c>
      <c r="O30" s="389">
        <f>SUM('RASHODI ZA VIJEĆE'!H76+'RASHODI ZA VIJEĆE'!H80+'RASHODI ZA VIJEĆE'!H82)</f>
        <v>55000</v>
      </c>
      <c r="P30" s="389">
        <f>SUM('RASHODI ZA VIJEĆE'!I76+'RASHODI ZA VIJEĆE'!I80+'RASHODI ZA VIJEĆE'!I82)</f>
        <v>46269.819999999992</v>
      </c>
      <c r="Q30" s="390">
        <f t="shared" si="0"/>
        <v>2.1101688460884196</v>
      </c>
      <c r="R30" s="390">
        <f t="shared" si="1"/>
        <v>1</v>
      </c>
      <c r="S30" s="390">
        <f t="shared" si="2"/>
        <v>0.84126945454545443</v>
      </c>
      <c r="T30" s="391" t="s">
        <v>469</v>
      </c>
      <c r="U30" s="392"/>
      <c r="V30" s="392"/>
      <c r="W30" s="392"/>
      <c r="X30" s="392"/>
      <c r="Y30" s="392"/>
      <c r="Z30" s="392"/>
      <c r="AA30" s="392"/>
      <c r="AB30" s="392"/>
    </row>
    <row r="31" spans="1:28" s="336" customFormat="1" x14ac:dyDescent="0.3">
      <c r="A31" s="386">
        <v>11</v>
      </c>
      <c r="B31" s="471">
        <v>322</v>
      </c>
      <c r="C31" s="471"/>
      <c r="D31" s="471"/>
      <c r="E31" s="471"/>
      <c r="F31" s="471"/>
      <c r="G31" s="471"/>
      <c r="H31" s="471"/>
      <c r="I31" s="471"/>
      <c r="J31" s="388" t="s">
        <v>508</v>
      </c>
      <c r="K31" s="336" t="s">
        <v>95</v>
      </c>
      <c r="L31" s="389">
        <f>SUM('RASHODI ZA VIJEĆE'!E84+'RASHODI ZA VIJEĆE'!E85+'RASHODI ZA VIJEĆE'!E86)</f>
        <v>3642.3</v>
      </c>
      <c r="M31" s="389">
        <f>SUM('RASHODI ZA VIJEĆE'!F84+'RASHODI ZA VIJEĆE'!F85+'RASHODI ZA VIJEĆE'!F86)</f>
        <v>6380.24</v>
      </c>
      <c r="N31" s="389">
        <f>SUM('RASHODI ZA VIJEĆE'!G84+'RASHODI ZA VIJEĆE'!G85+'RASHODI ZA VIJEĆE'!G86)</f>
        <v>13500</v>
      </c>
      <c r="O31" s="389">
        <f>SUM('RASHODI ZA VIJEĆE'!H84+'RASHODI ZA VIJEĆE'!H85+'RASHODI ZA VIJEĆE'!H86)</f>
        <v>10500</v>
      </c>
      <c r="P31" s="389">
        <f>SUM('RASHODI ZA VIJEĆE'!I84+'RASHODI ZA VIJEĆE'!I85+'RASHODI ZA VIJEĆE'!I86)</f>
        <v>6380.24</v>
      </c>
      <c r="Q31" s="390">
        <f t="shared" si="0"/>
        <v>1.7517063394009278</v>
      </c>
      <c r="R31" s="390">
        <f t="shared" si="1"/>
        <v>1</v>
      </c>
      <c r="S31" s="390">
        <f t="shared" si="2"/>
        <v>0.60764190476190472</v>
      </c>
      <c r="T31" s="391" t="s">
        <v>470</v>
      </c>
      <c r="U31" s="392"/>
      <c r="V31" s="392"/>
      <c r="W31" s="392"/>
      <c r="X31" s="392"/>
      <c r="Y31" s="392"/>
      <c r="Z31" s="392"/>
      <c r="AA31" s="392"/>
      <c r="AB31" s="392"/>
    </row>
    <row r="32" spans="1:28" s="336" customFormat="1" x14ac:dyDescent="0.3">
      <c r="A32" s="386">
        <v>12</v>
      </c>
      <c r="B32" s="471">
        <v>322</v>
      </c>
      <c r="C32" s="471"/>
      <c r="D32" s="471"/>
      <c r="E32" s="471"/>
      <c r="F32" s="471"/>
      <c r="G32" s="471"/>
      <c r="H32" s="471"/>
      <c r="I32" s="471"/>
      <c r="J32" s="388" t="s">
        <v>504</v>
      </c>
      <c r="K32" s="336" t="s">
        <v>111</v>
      </c>
      <c r="L32" s="389">
        <f>SUM('RASHODI ZA VIJEĆE'!E88+'RASHODI ZA VIJEĆE'!E89)</f>
        <v>0</v>
      </c>
      <c r="M32" s="389">
        <f>SUM('RASHODI ZA VIJEĆE'!F88+'RASHODI ZA VIJEĆE'!F89)</f>
        <v>39.68</v>
      </c>
      <c r="N32" s="389">
        <f>SUM('RASHODI ZA VIJEĆE'!G88+'RASHODI ZA VIJEĆE'!G89)</f>
        <v>4500</v>
      </c>
      <c r="O32" s="389">
        <f>SUM('RASHODI ZA VIJEĆE'!H88+'RASHODI ZA VIJEĆE'!H89)</f>
        <v>500</v>
      </c>
      <c r="P32" s="389">
        <f>SUM('RASHODI ZA VIJEĆE'!I88+'RASHODI ZA VIJEĆE'!I89)</f>
        <v>39.68</v>
      </c>
      <c r="Q32" s="390">
        <f t="shared" si="0"/>
        <v>0</v>
      </c>
      <c r="R32" s="390">
        <f t="shared" si="1"/>
        <v>1</v>
      </c>
      <c r="S32" s="390">
        <f t="shared" si="2"/>
        <v>7.936E-2</v>
      </c>
      <c r="T32" s="391" t="s">
        <v>471</v>
      </c>
      <c r="U32" s="392"/>
      <c r="V32" s="392"/>
      <c r="W32" s="392"/>
      <c r="X32" s="392"/>
      <c r="Y32" s="392"/>
      <c r="Z32" s="392"/>
      <c r="AA32" s="392"/>
      <c r="AB32" s="392"/>
    </row>
    <row r="33" spans="1:28" s="336" customFormat="1" x14ac:dyDescent="0.3">
      <c r="A33" s="386">
        <v>13</v>
      </c>
      <c r="B33" s="471">
        <v>322</v>
      </c>
      <c r="C33" s="471"/>
      <c r="D33" s="471"/>
      <c r="E33" s="471"/>
      <c r="F33" s="471"/>
      <c r="G33" s="471"/>
      <c r="H33" s="471"/>
      <c r="I33" s="471"/>
      <c r="J33" s="388" t="s">
        <v>504</v>
      </c>
      <c r="K33" s="336" t="s">
        <v>76</v>
      </c>
      <c r="L33" s="389">
        <f>SUM('RASHODI ZA VIJEĆE'!E91)</f>
        <v>0</v>
      </c>
      <c r="M33" s="389">
        <f>SUM('RASHODI ZA VIJEĆE'!F91)</f>
        <v>0</v>
      </c>
      <c r="N33" s="389">
        <f>SUM('RASHODI ZA VIJEĆE'!G91)</f>
        <v>1500</v>
      </c>
      <c r="O33" s="389">
        <f>SUM('RASHODI ZA VIJEĆE'!H91)</f>
        <v>1000</v>
      </c>
      <c r="P33" s="389">
        <f>SUM('RASHODI ZA VIJEĆE'!I91)</f>
        <v>0</v>
      </c>
      <c r="Q33" s="390">
        <f t="shared" si="0"/>
        <v>0</v>
      </c>
      <c r="R33" s="390">
        <f t="shared" si="1"/>
        <v>0</v>
      </c>
      <c r="S33" s="390">
        <f t="shared" si="2"/>
        <v>0</v>
      </c>
      <c r="T33" s="391">
        <v>91</v>
      </c>
      <c r="U33" s="392"/>
      <c r="V33" s="392"/>
      <c r="W33" s="392"/>
      <c r="X33" s="392"/>
      <c r="Y33" s="392"/>
      <c r="Z33" s="392"/>
      <c r="AA33" s="392"/>
      <c r="AB33" s="392"/>
    </row>
    <row r="34" spans="1:28" s="273" customFormat="1" x14ac:dyDescent="0.3">
      <c r="A34" s="377"/>
      <c r="B34" s="472">
        <v>323</v>
      </c>
      <c r="C34" s="472"/>
      <c r="D34" s="472"/>
      <c r="E34" s="472"/>
      <c r="F34" s="472"/>
      <c r="G34" s="472"/>
      <c r="H34" s="472"/>
      <c r="I34" s="472"/>
      <c r="J34" s="384"/>
      <c r="K34" s="273" t="s">
        <v>2</v>
      </c>
      <c r="L34" s="379">
        <f>SUM(L35:L44)</f>
        <v>96106.43</v>
      </c>
      <c r="M34" s="379">
        <f>SUM(M35:M44)</f>
        <v>252404.05999999997</v>
      </c>
      <c r="N34" s="379">
        <f>SUM(N35:N44)</f>
        <v>241500</v>
      </c>
      <c r="O34" s="379">
        <f>SUM(O35:O44)</f>
        <v>326800</v>
      </c>
      <c r="P34" s="379">
        <f>SUM(P35:P44)</f>
        <v>252404.05999999997</v>
      </c>
      <c r="Q34" s="380">
        <f t="shared" si="0"/>
        <v>2.6262973247471577</v>
      </c>
      <c r="R34" s="380">
        <f t="shared" si="1"/>
        <v>1</v>
      </c>
      <c r="S34" s="380">
        <f t="shared" si="2"/>
        <v>0.77235024479804149</v>
      </c>
      <c r="T34" s="381"/>
      <c r="U34" s="383"/>
      <c r="V34" s="383"/>
      <c r="W34" s="383"/>
      <c r="X34" s="383"/>
      <c r="Y34" s="383"/>
      <c r="Z34" s="383"/>
      <c r="AA34" s="383"/>
      <c r="AB34" s="383"/>
    </row>
    <row r="35" spans="1:28" s="336" customFormat="1" x14ac:dyDescent="0.3">
      <c r="A35" s="386">
        <v>14</v>
      </c>
      <c r="B35" s="471">
        <v>323</v>
      </c>
      <c r="C35" s="471"/>
      <c r="D35" s="471"/>
      <c r="E35" s="471"/>
      <c r="F35" s="471"/>
      <c r="G35" s="471"/>
      <c r="H35" s="471"/>
      <c r="I35" s="471"/>
      <c r="J35" s="388" t="s">
        <v>512</v>
      </c>
      <c r="K35" s="336" t="s">
        <v>68</v>
      </c>
      <c r="L35" s="389">
        <f>SUM('RASHODI ZA VIJEĆE'!E94+'RASHODI ZA VIJEĆE'!E95+'RASHODI ZA VIJEĆE'!E96+'RASHODI ZA VIJEĆE'!E97)</f>
        <v>4890.3600000000006</v>
      </c>
      <c r="M35" s="389">
        <f>SUM('RASHODI ZA VIJEĆE'!F94+'RASHODI ZA VIJEĆE'!F95+'RASHODI ZA VIJEĆE'!F96+'RASHODI ZA VIJEĆE'!F97)</f>
        <v>18102.560000000001</v>
      </c>
      <c r="N35" s="389">
        <f>SUM('RASHODI ZA VIJEĆE'!G94+'RASHODI ZA VIJEĆE'!G95+'RASHODI ZA VIJEĆE'!G96+'RASHODI ZA VIJEĆE'!G97)</f>
        <v>25500</v>
      </c>
      <c r="O35" s="389">
        <f>SUM('RASHODI ZA VIJEĆE'!H94+'RASHODI ZA VIJEĆE'!H95+'RASHODI ZA VIJEĆE'!H96+'RASHODI ZA VIJEĆE'!H97)</f>
        <v>19300</v>
      </c>
      <c r="P35" s="389">
        <f>SUM('RASHODI ZA VIJEĆE'!I94+'RASHODI ZA VIJEĆE'!I95+'RASHODI ZA VIJEĆE'!I96+'RASHODI ZA VIJEĆE'!I97)</f>
        <v>18102.560000000001</v>
      </c>
      <c r="Q35" s="390">
        <f t="shared" si="0"/>
        <v>3.7016824937223434</v>
      </c>
      <c r="R35" s="390">
        <f t="shared" si="1"/>
        <v>1</v>
      </c>
      <c r="S35" s="390">
        <f t="shared" si="2"/>
        <v>0.93795647668393789</v>
      </c>
      <c r="T35" s="391" t="s">
        <v>472</v>
      </c>
      <c r="U35" s="392"/>
      <c r="V35" s="392"/>
      <c r="W35" s="392"/>
      <c r="X35" s="392"/>
      <c r="Y35" s="392"/>
      <c r="Z35" s="392"/>
      <c r="AA35" s="392"/>
      <c r="AB35" s="392"/>
    </row>
    <row r="36" spans="1:28" s="336" customFormat="1" x14ac:dyDescent="0.3">
      <c r="A36" s="386">
        <v>15</v>
      </c>
      <c r="B36" s="471">
        <v>323</v>
      </c>
      <c r="C36" s="471"/>
      <c r="D36" s="471"/>
      <c r="E36" s="471"/>
      <c r="F36" s="471"/>
      <c r="G36" s="471"/>
      <c r="H36" s="471"/>
      <c r="I36" s="471"/>
      <c r="J36" s="388" t="s">
        <v>510</v>
      </c>
      <c r="K36" s="336" t="s">
        <v>67</v>
      </c>
      <c r="L36" s="389">
        <f>SUM('RASHODI ZA VIJEĆE'!E119+'RASHODI ZA VIJEĆE'!E120+'RASHODI ZA VIJEĆE'!E121)</f>
        <v>6842.9000000000005</v>
      </c>
      <c r="M36" s="389">
        <f>SUM('RASHODI ZA VIJEĆE'!F119+'RASHODI ZA VIJEĆE'!F120+'RASHODI ZA VIJEĆE'!F121)</f>
        <v>12042.43</v>
      </c>
      <c r="N36" s="389">
        <f>SUM('RASHODI ZA VIJEĆE'!G119+'RASHODI ZA VIJEĆE'!G120+'RASHODI ZA VIJEĆE'!G121)</f>
        <v>14000</v>
      </c>
      <c r="O36" s="389">
        <f>SUM('RASHODI ZA VIJEĆE'!H119+'RASHODI ZA VIJEĆE'!H120+'RASHODI ZA VIJEĆE'!H121)</f>
        <v>15500</v>
      </c>
      <c r="P36" s="389">
        <f>SUM('RASHODI ZA VIJEĆE'!I119+'RASHODI ZA VIJEĆE'!I120+'RASHODI ZA VIJEĆE'!I121)</f>
        <v>12042.43</v>
      </c>
      <c r="Q36" s="390">
        <f t="shared" si="0"/>
        <v>1.759843048999693</v>
      </c>
      <c r="R36" s="390">
        <f t="shared" si="1"/>
        <v>1</v>
      </c>
      <c r="S36" s="390">
        <f t="shared" si="2"/>
        <v>0.77693096774193549</v>
      </c>
      <c r="T36" s="391" t="s">
        <v>473</v>
      </c>
      <c r="U36" s="392"/>
      <c r="V36" s="392"/>
      <c r="W36" s="392"/>
      <c r="X36" s="392"/>
      <c r="Y36" s="392"/>
      <c r="Z36" s="392"/>
      <c r="AA36" s="392"/>
      <c r="AB36" s="392"/>
    </row>
    <row r="37" spans="1:28" s="336" customFormat="1" x14ac:dyDescent="0.3">
      <c r="A37" s="386">
        <v>16</v>
      </c>
      <c r="B37" s="471">
        <v>323</v>
      </c>
      <c r="C37" s="471"/>
      <c r="D37" s="471"/>
      <c r="E37" s="471"/>
      <c r="F37" s="471"/>
      <c r="G37" s="471"/>
      <c r="H37" s="471"/>
      <c r="I37" s="471"/>
      <c r="J37" s="388" t="s">
        <v>511</v>
      </c>
      <c r="K37" s="336" t="s">
        <v>474</v>
      </c>
      <c r="L37" s="389">
        <f>SUM('RASHODI ZA VIJEĆE'!E123+'RASHODI ZA VIJEĆE'!E127)</f>
        <v>3084.01</v>
      </c>
      <c r="M37" s="389">
        <f>SUM('RASHODI ZA VIJEĆE'!F123+'RASHODI ZA VIJEĆE'!F127)</f>
        <v>12673.25</v>
      </c>
      <c r="N37" s="389">
        <f>SUM('RASHODI ZA VIJEĆE'!G123+'RASHODI ZA VIJEĆE'!G127)</f>
        <v>7000</v>
      </c>
      <c r="O37" s="389">
        <f>SUM('RASHODI ZA VIJEĆE'!H123+'RASHODI ZA VIJEĆE'!H127)</f>
        <v>10500</v>
      </c>
      <c r="P37" s="389">
        <f>SUM('RASHODI ZA VIJEĆE'!I123+'RASHODI ZA VIJEĆE'!I127)</f>
        <v>12673.25</v>
      </c>
      <c r="Q37" s="390">
        <f t="shared" si="0"/>
        <v>4.1093414093988017</v>
      </c>
      <c r="R37" s="390">
        <f t="shared" si="1"/>
        <v>1</v>
      </c>
      <c r="S37" s="390">
        <f t="shared" si="2"/>
        <v>1.2069761904761904</v>
      </c>
      <c r="T37" s="391" t="s">
        <v>475</v>
      </c>
      <c r="U37" s="392"/>
      <c r="V37" s="392"/>
      <c r="W37" s="392"/>
      <c r="X37" s="392"/>
      <c r="Y37" s="392"/>
      <c r="Z37" s="392"/>
      <c r="AA37" s="392"/>
      <c r="AB37" s="392"/>
    </row>
    <row r="38" spans="1:28" s="336" customFormat="1" x14ac:dyDescent="0.3">
      <c r="A38" s="386">
        <v>17</v>
      </c>
      <c r="B38" s="471">
        <v>323</v>
      </c>
      <c r="C38" s="471"/>
      <c r="D38" s="471"/>
      <c r="E38" s="471"/>
      <c r="F38" s="471"/>
      <c r="G38" s="471"/>
      <c r="H38" s="471"/>
      <c r="I38" s="471"/>
      <c r="J38" s="388" t="s">
        <v>504</v>
      </c>
      <c r="K38" s="336" t="s">
        <v>77</v>
      </c>
      <c r="L38" s="389">
        <f>SUM('RASHODI ZA VIJEĆE'!E142)</f>
        <v>365.75</v>
      </c>
      <c r="M38" s="389">
        <f>SUM('RASHODI ZA VIJEĆE'!F142)</f>
        <v>365.75</v>
      </c>
      <c r="N38" s="389">
        <f>SUM('RASHODI ZA VIJEĆE'!G142)</f>
        <v>1000</v>
      </c>
      <c r="O38" s="389">
        <f>SUM('RASHODI ZA VIJEĆE'!H142)</f>
        <v>1000</v>
      </c>
      <c r="P38" s="389">
        <f>SUM('RASHODI ZA VIJEĆE'!I142)</f>
        <v>365.75</v>
      </c>
      <c r="Q38" s="390">
        <f t="shared" si="0"/>
        <v>1</v>
      </c>
      <c r="R38" s="390">
        <f t="shared" si="1"/>
        <v>1</v>
      </c>
      <c r="S38" s="390">
        <f t="shared" si="2"/>
        <v>0.36575000000000002</v>
      </c>
      <c r="T38" s="391">
        <v>141</v>
      </c>
      <c r="U38" s="392"/>
      <c r="V38" s="392"/>
      <c r="W38" s="392"/>
      <c r="X38" s="392"/>
      <c r="Y38" s="392"/>
      <c r="Z38" s="392"/>
      <c r="AA38" s="392"/>
      <c r="AB38" s="392"/>
    </row>
    <row r="39" spans="1:28" s="336" customFormat="1" x14ac:dyDescent="0.3">
      <c r="A39" s="386">
        <v>18</v>
      </c>
      <c r="B39" s="471">
        <v>323</v>
      </c>
      <c r="C39" s="471"/>
      <c r="D39" s="471"/>
      <c r="E39" s="471"/>
      <c r="F39" s="471"/>
      <c r="G39" s="471"/>
      <c r="H39" s="471"/>
      <c r="I39" s="471"/>
      <c r="J39" s="388" t="s">
        <v>508</v>
      </c>
      <c r="K39" s="336" t="s">
        <v>66</v>
      </c>
      <c r="L39" s="389">
        <f>SUM('RASHODI ZA VIJEĆE'!E148+'RASHODI ZA VIJEĆE'!E149+'RASHODI ZA VIJEĆE'!E150+'RASHODI ZA VIJEĆE'!E151+'RASHODI ZA VIJEĆE'!E152+'RASHODI ZA VIJEĆE'!E153)</f>
        <v>19611.27</v>
      </c>
      <c r="M39" s="389">
        <f>SUM('RASHODI ZA VIJEĆE'!F148+'RASHODI ZA VIJEĆE'!F149+'RASHODI ZA VIJEĆE'!F150+'RASHODI ZA VIJEĆE'!F151+'RASHODI ZA VIJEĆE'!F152+'RASHODI ZA VIJEĆE'!F153)</f>
        <v>42478.67</v>
      </c>
      <c r="N39" s="389">
        <f>SUM('RASHODI ZA VIJEĆE'!G148+'RASHODI ZA VIJEĆE'!G149+'RASHODI ZA VIJEĆE'!G150+'RASHODI ZA VIJEĆE'!G151+'RASHODI ZA VIJEĆE'!G152+'RASHODI ZA VIJEĆE'!G153)</f>
        <v>91500</v>
      </c>
      <c r="O39" s="389">
        <f>SUM('RASHODI ZA VIJEĆE'!H148+'RASHODI ZA VIJEĆE'!H149+'RASHODI ZA VIJEĆE'!H150+'RASHODI ZA VIJEĆE'!H151+'RASHODI ZA VIJEĆE'!H152+'RASHODI ZA VIJEĆE'!H153)</f>
        <v>79500</v>
      </c>
      <c r="P39" s="389">
        <f>SUM('RASHODI ZA VIJEĆE'!I148+'RASHODI ZA VIJEĆE'!I149+'RASHODI ZA VIJEĆE'!I150+'RASHODI ZA VIJEĆE'!I151+'RASHODI ZA VIJEĆE'!I152+'RASHODI ZA VIJEĆE'!I153)</f>
        <v>42478.67</v>
      </c>
      <c r="Q39" s="390">
        <f t="shared" si="0"/>
        <v>2.166033612305577</v>
      </c>
      <c r="R39" s="390">
        <f t="shared" si="1"/>
        <v>1</v>
      </c>
      <c r="S39" s="390">
        <f t="shared" si="2"/>
        <v>0.53432289308176095</v>
      </c>
      <c r="T39" s="391" t="s">
        <v>476</v>
      </c>
      <c r="U39" s="392"/>
      <c r="V39" s="392"/>
      <c r="W39" s="392"/>
      <c r="X39" s="392"/>
      <c r="Y39" s="392"/>
      <c r="Z39" s="392"/>
      <c r="AA39" s="392"/>
      <c r="AB39" s="392"/>
    </row>
    <row r="40" spans="1:28" s="336" customFormat="1" x14ac:dyDescent="0.3">
      <c r="A40" s="386">
        <v>19</v>
      </c>
      <c r="B40" s="471">
        <v>323</v>
      </c>
      <c r="C40" s="471"/>
      <c r="D40" s="471"/>
      <c r="E40" s="471"/>
      <c r="F40" s="471"/>
      <c r="G40" s="471"/>
      <c r="H40" s="471"/>
      <c r="I40" s="471"/>
      <c r="J40" s="388" t="s">
        <v>504</v>
      </c>
      <c r="K40" s="336" t="s">
        <v>65</v>
      </c>
      <c r="L40" s="389">
        <f>SUM('RASHODI ZA VIJEĆE'!E157+'RASHODI ZA VIJEĆE'!E159)</f>
        <v>1350</v>
      </c>
      <c r="M40" s="389">
        <f>SUM('RASHODI ZA VIJEĆE'!F157+'RASHODI ZA VIJEĆE'!F159)</f>
        <v>6225</v>
      </c>
      <c r="N40" s="389">
        <f>SUM('RASHODI ZA VIJEĆE'!G157+'RASHODI ZA VIJEĆE'!G159)</f>
        <v>11500</v>
      </c>
      <c r="O40" s="389">
        <f>SUM('RASHODI ZA VIJEĆE'!H157+'RASHODI ZA VIJEĆE'!H159)</f>
        <v>41000</v>
      </c>
      <c r="P40" s="389">
        <f>SUM('RASHODI ZA VIJEĆE'!I157+'RASHODI ZA VIJEĆE'!I159)</f>
        <v>6225</v>
      </c>
      <c r="Q40" s="390">
        <f t="shared" si="0"/>
        <v>4.6111111111111107</v>
      </c>
      <c r="R40" s="390">
        <f t="shared" si="1"/>
        <v>1</v>
      </c>
      <c r="S40" s="390">
        <f t="shared" si="2"/>
        <v>0.15182926829268292</v>
      </c>
      <c r="T40" s="391" t="s">
        <v>477</v>
      </c>
      <c r="U40" s="392"/>
      <c r="V40" s="392"/>
      <c r="W40" s="392"/>
      <c r="X40" s="392"/>
      <c r="Y40" s="392"/>
      <c r="Z40" s="392"/>
      <c r="AA40" s="392"/>
      <c r="AB40" s="392"/>
    </row>
    <row r="41" spans="1:28" s="336" customFormat="1" x14ac:dyDescent="0.3">
      <c r="A41" s="386">
        <v>20</v>
      </c>
      <c r="B41" s="471">
        <v>323</v>
      </c>
      <c r="C41" s="471"/>
      <c r="D41" s="471"/>
      <c r="E41" s="471"/>
      <c r="F41" s="471"/>
      <c r="G41" s="471"/>
      <c r="H41" s="471"/>
      <c r="I41" s="471"/>
      <c r="J41" s="388" t="s">
        <v>504</v>
      </c>
      <c r="K41" s="336" t="s">
        <v>429</v>
      </c>
      <c r="L41" s="389">
        <f>SUM('RASHODI ZA VIJEĆE'!E137)</f>
        <v>688.74</v>
      </c>
      <c r="M41" s="389">
        <f>SUM('RASHODI ZA VIJEĆE'!F137)</f>
        <v>1377.48</v>
      </c>
      <c r="N41" s="389">
        <f>SUM('RASHODI ZA VIJEĆE'!G137)</f>
        <v>1500</v>
      </c>
      <c r="O41" s="389">
        <f>SUM('RASHODI ZA VIJEĆE'!H137)</f>
        <v>1500</v>
      </c>
      <c r="P41" s="389">
        <f>SUM('RASHODI ZA VIJEĆE'!I137)</f>
        <v>1377.48</v>
      </c>
      <c r="Q41" s="390">
        <f t="shared" si="0"/>
        <v>2</v>
      </c>
      <c r="R41" s="390">
        <f t="shared" si="1"/>
        <v>1</v>
      </c>
      <c r="S41" s="390">
        <f t="shared" si="2"/>
        <v>0.91832000000000003</v>
      </c>
      <c r="T41" s="391">
        <v>136</v>
      </c>
      <c r="U41" s="392"/>
      <c r="V41" s="392"/>
      <c r="W41" s="392"/>
      <c r="X41" s="392"/>
      <c r="Y41" s="392"/>
      <c r="Z41" s="392"/>
      <c r="AA41" s="392"/>
      <c r="AB41" s="392"/>
    </row>
    <row r="42" spans="1:28" s="336" customFormat="1" x14ac:dyDescent="0.3">
      <c r="A42" s="386">
        <v>21</v>
      </c>
      <c r="B42" s="471">
        <v>323</v>
      </c>
      <c r="C42" s="471"/>
      <c r="D42" s="471"/>
      <c r="E42" s="471"/>
      <c r="F42" s="471"/>
      <c r="G42" s="471"/>
      <c r="H42" s="471"/>
      <c r="I42" s="471"/>
      <c r="J42" s="388" t="s">
        <v>504</v>
      </c>
      <c r="K42" s="336" t="s">
        <v>64</v>
      </c>
      <c r="L42" s="389">
        <f>SUM('RASHODI ZA VIJEĆE'!E161+'RASHODI ZA VIJEĆE'!E162+'RASHODI ZA VIJEĆE'!E164+'RASHODI ZA VIJEĆE'!E166+'RASHODI ZA VIJEĆE'!E170+'RASHODI ZA VIJEĆE'!E171+'RASHODI ZA VIJEĆE'!E172)</f>
        <v>56995.5</v>
      </c>
      <c r="M42" s="389">
        <f>SUM('RASHODI ZA VIJEĆE'!F161+'RASHODI ZA VIJEĆE'!F162+'RASHODI ZA VIJEĆE'!F164+'RASHODI ZA VIJEĆE'!F166+'RASHODI ZA VIJEĆE'!F170+'RASHODI ZA VIJEĆE'!F171+'RASHODI ZA VIJEĆE'!F172)</f>
        <v>152964.4</v>
      </c>
      <c r="N42" s="389">
        <f>SUM('RASHODI ZA VIJEĆE'!G161+'RASHODI ZA VIJEĆE'!G162+'RASHODI ZA VIJEĆE'!G164+'RASHODI ZA VIJEĆE'!G166+'RASHODI ZA VIJEĆE'!G170+'RASHODI ZA VIJEĆE'!G171+'RASHODI ZA VIJEĆE'!G172)</f>
        <v>81500</v>
      </c>
      <c r="O42" s="389">
        <f>SUM('RASHODI ZA VIJEĆE'!H161+'RASHODI ZA VIJEĆE'!H162+'RASHODI ZA VIJEĆE'!H164+'RASHODI ZA VIJEĆE'!H166+'RASHODI ZA VIJEĆE'!H170+'RASHODI ZA VIJEĆE'!H171+'RASHODI ZA VIJEĆE'!H172)</f>
        <v>151500</v>
      </c>
      <c r="P42" s="389">
        <f>SUM('RASHODI ZA VIJEĆE'!I161+'RASHODI ZA VIJEĆE'!I162+'RASHODI ZA VIJEĆE'!I164+'RASHODI ZA VIJEĆE'!I166+'RASHODI ZA VIJEĆE'!I170+'RASHODI ZA VIJEĆE'!I171+'RASHODI ZA VIJEĆE'!I172)</f>
        <v>152964.4</v>
      </c>
      <c r="Q42" s="390">
        <f t="shared" si="0"/>
        <v>2.6837978436894141</v>
      </c>
      <c r="R42" s="390">
        <f t="shared" si="1"/>
        <v>1</v>
      </c>
      <c r="S42" s="390">
        <f t="shared" si="2"/>
        <v>1.00966600660066</v>
      </c>
      <c r="T42" s="391" t="s">
        <v>478</v>
      </c>
      <c r="U42" s="392"/>
      <c r="V42" s="392"/>
      <c r="W42" s="392"/>
      <c r="X42" s="392"/>
      <c r="Y42" s="392"/>
      <c r="Z42" s="392"/>
      <c r="AA42" s="392"/>
      <c r="AB42" s="392"/>
    </row>
    <row r="43" spans="1:28" s="336" customFormat="1" x14ac:dyDescent="0.3">
      <c r="A43" s="386">
        <v>22</v>
      </c>
      <c r="B43" s="471">
        <v>323</v>
      </c>
      <c r="C43" s="471"/>
      <c r="D43" s="471"/>
      <c r="E43" s="471"/>
      <c r="F43" s="471"/>
      <c r="G43" s="471"/>
      <c r="H43" s="471"/>
      <c r="I43" s="471"/>
      <c r="J43" s="388" t="s">
        <v>504</v>
      </c>
      <c r="K43" s="336" t="s">
        <v>102</v>
      </c>
      <c r="L43" s="389">
        <f>SUM('RASHODI ZA VIJEĆE'!E112)</f>
        <v>2277.9</v>
      </c>
      <c r="M43" s="389">
        <f>SUM('RASHODI ZA VIJEĆE'!F112)</f>
        <v>6174.52</v>
      </c>
      <c r="N43" s="389">
        <f>SUM('RASHODI ZA VIJEĆE'!G112)</f>
        <v>7000</v>
      </c>
      <c r="O43" s="389">
        <f>SUM('RASHODI ZA VIJEĆE'!H112)</f>
        <v>7000</v>
      </c>
      <c r="P43" s="389">
        <f>SUM('RASHODI ZA VIJEĆE'!I112)</f>
        <v>6174.52</v>
      </c>
      <c r="Q43" s="390">
        <f t="shared" si="0"/>
        <v>2.7106194301769175</v>
      </c>
      <c r="R43" s="390">
        <f t="shared" si="1"/>
        <v>1</v>
      </c>
      <c r="S43" s="390">
        <f t="shared" si="2"/>
        <v>0.88207428571428581</v>
      </c>
      <c r="T43" s="391">
        <v>114</v>
      </c>
      <c r="U43" s="392"/>
      <c r="V43" s="392"/>
      <c r="W43" s="392"/>
      <c r="X43" s="392"/>
      <c r="Y43" s="392"/>
      <c r="Z43" s="392"/>
      <c r="AA43" s="392"/>
      <c r="AB43" s="392"/>
    </row>
    <row r="44" spans="1:28" s="336" customFormat="1" x14ac:dyDescent="0.3">
      <c r="A44" s="386">
        <v>23</v>
      </c>
      <c r="B44" s="471">
        <v>323</v>
      </c>
      <c r="C44" s="471"/>
      <c r="D44" s="471"/>
      <c r="E44" s="471"/>
      <c r="F44" s="471"/>
      <c r="G44" s="471"/>
      <c r="H44" s="471"/>
      <c r="I44" s="471"/>
      <c r="J44" s="388" t="s">
        <v>513</v>
      </c>
      <c r="K44" s="336" t="s">
        <v>456</v>
      </c>
      <c r="L44" s="389">
        <f>SUM('RASHODI ZA VIJEĆE'!E144)</f>
        <v>0</v>
      </c>
      <c r="M44" s="389">
        <f>SUM('RASHODI ZA VIJEĆE'!F144)</f>
        <v>0</v>
      </c>
      <c r="N44" s="389">
        <f>SUM('RASHODI ZA VIJEĆE'!G144)</f>
        <v>1000</v>
      </c>
      <c r="O44" s="389">
        <f>SUM('RASHODI ZA VIJEĆE'!H144)</f>
        <v>0</v>
      </c>
      <c r="P44" s="389">
        <f>SUM('RASHODI ZA VIJEĆE'!I144)</f>
        <v>0</v>
      </c>
      <c r="Q44" s="390">
        <f t="shared" si="0"/>
        <v>0</v>
      </c>
      <c r="R44" s="390">
        <f t="shared" si="1"/>
        <v>0</v>
      </c>
      <c r="S44" s="390">
        <f t="shared" si="2"/>
        <v>0</v>
      </c>
      <c r="T44" s="391">
        <v>143</v>
      </c>
      <c r="U44" s="392"/>
      <c r="V44" s="392"/>
      <c r="W44" s="392"/>
      <c r="X44" s="392"/>
      <c r="Y44" s="392"/>
      <c r="Z44" s="392"/>
      <c r="AA44" s="392"/>
      <c r="AB44" s="392"/>
    </row>
    <row r="45" spans="1:28" s="273" customFormat="1" x14ac:dyDescent="0.3">
      <c r="A45" s="377"/>
      <c r="B45" s="472">
        <v>329</v>
      </c>
      <c r="C45" s="472"/>
      <c r="D45" s="472"/>
      <c r="E45" s="472"/>
      <c r="F45" s="472"/>
      <c r="G45" s="472"/>
      <c r="H45" s="472"/>
      <c r="I45" s="472"/>
      <c r="J45" s="384"/>
      <c r="K45" s="273" t="s">
        <v>7</v>
      </c>
      <c r="L45" s="379">
        <f>SUM(L46:L53)</f>
        <v>13506.1</v>
      </c>
      <c r="M45" s="379">
        <f>SUM(M46:M53)</f>
        <v>45838.79</v>
      </c>
      <c r="N45" s="379">
        <f>SUM(N46:N53)</f>
        <v>70500</v>
      </c>
      <c r="O45" s="379">
        <f>SUM(O46:O53)</f>
        <v>56100</v>
      </c>
      <c r="P45" s="379">
        <f>SUM(P46:P53)</f>
        <v>45838.79</v>
      </c>
      <c r="Q45" s="380">
        <f t="shared" si="0"/>
        <v>3.3939323712988947</v>
      </c>
      <c r="R45" s="380">
        <f t="shared" si="1"/>
        <v>1</v>
      </c>
      <c r="S45" s="380">
        <f t="shared" si="2"/>
        <v>0.81709073083778971</v>
      </c>
      <c r="T45" s="381"/>
      <c r="U45" s="383"/>
      <c r="V45" s="383"/>
      <c r="W45" s="383"/>
      <c r="X45" s="383"/>
      <c r="Y45" s="383"/>
      <c r="Z45" s="383"/>
      <c r="AA45" s="383"/>
      <c r="AB45" s="383"/>
    </row>
    <row r="46" spans="1:28" s="336" customFormat="1" x14ac:dyDescent="0.3">
      <c r="A46" s="386">
        <v>24</v>
      </c>
      <c r="B46" s="471">
        <v>329</v>
      </c>
      <c r="C46" s="471"/>
      <c r="D46" s="471"/>
      <c r="E46" s="471"/>
      <c r="F46" s="471"/>
      <c r="G46" s="471"/>
      <c r="H46" s="471"/>
      <c r="I46" s="471"/>
      <c r="J46" s="388" t="s">
        <v>505</v>
      </c>
      <c r="K46" s="336" t="s">
        <v>73</v>
      </c>
      <c r="L46" s="389">
        <f>SUM('RASHODI ZA VIJEĆE'!E179+'RASHODI ZA VIJEĆE'!E180+'RASHODI ZA VIJEĆE'!E181+'RASHODI ZA VIJEĆE'!E182+'RASHODI ZA VIJEĆE'!E183+'RASHODI ZA VIJEĆE'!E187+'RASHODI ZA VIJEĆE'!E186)</f>
        <v>4476.17</v>
      </c>
      <c r="M46" s="389">
        <f>SUM('RASHODI ZA VIJEĆE'!F179+'RASHODI ZA VIJEĆE'!F180+'RASHODI ZA VIJEĆE'!F181+'RASHODI ZA VIJEĆE'!F182+'RASHODI ZA VIJEĆE'!F183+'RASHODI ZA VIJEĆE'!F187+'RASHODI ZA VIJEĆE'!F186)</f>
        <v>17099.87</v>
      </c>
      <c r="N46" s="389">
        <f>SUM('RASHODI ZA VIJEĆE'!G179+'RASHODI ZA VIJEĆE'!G180+'RASHODI ZA VIJEĆE'!G181+'RASHODI ZA VIJEĆE'!G182+'RASHODI ZA VIJEĆE'!G183+'RASHODI ZA VIJEĆE'!G187+'RASHODI ZA VIJEĆE'!G186)</f>
        <v>22000</v>
      </c>
      <c r="O46" s="389">
        <f>SUM('RASHODI ZA VIJEĆE'!H179+'RASHODI ZA VIJEĆE'!H180+'RASHODI ZA VIJEĆE'!H181+'RASHODI ZA VIJEĆE'!H182+'RASHODI ZA VIJEĆE'!H183+'RASHODI ZA VIJEĆE'!H187+'RASHODI ZA VIJEĆE'!H186)</f>
        <v>21500</v>
      </c>
      <c r="P46" s="389">
        <f>SUM('RASHODI ZA VIJEĆE'!I179+'RASHODI ZA VIJEĆE'!I180+'RASHODI ZA VIJEĆE'!I181+'RASHODI ZA VIJEĆE'!I182+'RASHODI ZA VIJEĆE'!I183+'RASHODI ZA VIJEĆE'!I187+'RASHODI ZA VIJEĆE'!I186)</f>
        <v>17099.87</v>
      </c>
      <c r="Q46" s="390">
        <f t="shared" si="0"/>
        <v>3.8202011987927178</v>
      </c>
      <c r="R46" s="390">
        <f t="shared" si="1"/>
        <v>1</v>
      </c>
      <c r="S46" s="390">
        <f t="shared" si="2"/>
        <v>0.79534279069767433</v>
      </c>
      <c r="T46" s="391" t="s">
        <v>462</v>
      </c>
      <c r="U46" s="393"/>
      <c r="V46" s="392"/>
      <c r="W46" s="392"/>
      <c r="X46" s="392"/>
      <c r="Y46" s="392"/>
      <c r="Z46" s="392"/>
      <c r="AA46" s="392"/>
      <c r="AB46" s="392"/>
    </row>
    <row r="47" spans="1:28" s="336" customFormat="1" x14ac:dyDescent="0.3">
      <c r="A47" s="386">
        <v>25</v>
      </c>
      <c r="B47" s="471">
        <v>329</v>
      </c>
      <c r="C47" s="471"/>
      <c r="D47" s="471"/>
      <c r="E47" s="471"/>
      <c r="F47" s="471"/>
      <c r="G47" s="471"/>
      <c r="H47" s="471"/>
      <c r="I47" s="471"/>
      <c r="J47" s="388" t="s">
        <v>505</v>
      </c>
      <c r="K47" s="336" t="s">
        <v>378</v>
      </c>
      <c r="L47" s="389">
        <f>SUM('RASHODI ZA VIJEĆE'!E195)</f>
        <v>342.63</v>
      </c>
      <c r="M47" s="389">
        <f>SUM('RASHODI ZA VIJEĆE'!F195)</f>
        <v>4220.96</v>
      </c>
      <c r="N47" s="389">
        <f>SUM('RASHODI ZA VIJEĆE'!G195)</f>
        <v>4000</v>
      </c>
      <c r="O47" s="389">
        <f>SUM('RASHODI ZA VIJEĆE'!H195)</f>
        <v>4000</v>
      </c>
      <c r="P47" s="389">
        <f>SUM('RASHODI ZA VIJEĆE'!I195)</f>
        <v>4220.96</v>
      </c>
      <c r="Q47" s="390">
        <f t="shared" si="0"/>
        <v>12.31929486618218</v>
      </c>
      <c r="R47" s="390">
        <f t="shared" si="1"/>
        <v>1</v>
      </c>
      <c r="S47" s="390">
        <f t="shared" si="2"/>
        <v>1.05524</v>
      </c>
      <c r="T47" s="391">
        <v>189</v>
      </c>
      <c r="U47" s="393"/>
      <c r="V47" s="392"/>
      <c r="W47" s="392"/>
      <c r="X47" s="392"/>
      <c r="Y47" s="392"/>
      <c r="Z47" s="392"/>
      <c r="AA47" s="392"/>
      <c r="AB47" s="392"/>
    </row>
    <row r="48" spans="1:28" s="336" customFormat="1" x14ac:dyDescent="0.3">
      <c r="A48" s="386">
        <v>26</v>
      </c>
      <c r="B48" s="471">
        <v>329</v>
      </c>
      <c r="C48" s="471"/>
      <c r="D48" s="471"/>
      <c r="E48" s="471"/>
      <c r="F48" s="471"/>
      <c r="G48" s="471"/>
      <c r="H48" s="471"/>
      <c r="I48" s="471"/>
      <c r="J48" s="388" t="s">
        <v>506</v>
      </c>
      <c r="K48" s="336" t="s">
        <v>63</v>
      </c>
      <c r="L48" s="389">
        <f>SUM('RASHODI ZA VIJEĆE'!E189+'RASHODI ZA VIJEĆE'!E190+'RASHODI ZA VIJEĆE'!E192)</f>
        <v>74.290000000000006</v>
      </c>
      <c r="M48" s="389">
        <f>SUM('RASHODI ZA VIJEĆE'!F189+'RASHODI ZA VIJEĆE'!F190+'RASHODI ZA VIJEĆE'!F192)</f>
        <v>1977.6</v>
      </c>
      <c r="N48" s="389">
        <f>SUM('RASHODI ZA VIJEĆE'!G189+'RASHODI ZA VIJEĆE'!G190+'RASHODI ZA VIJEĆE'!G192)</f>
        <v>7500</v>
      </c>
      <c r="O48" s="389">
        <f>SUM('RASHODI ZA VIJEĆE'!H189+'RASHODI ZA VIJEĆE'!H190+'RASHODI ZA VIJEĆE'!H192)</f>
        <v>8000</v>
      </c>
      <c r="P48" s="389">
        <f>SUM('RASHODI ZA VIJEĆE'!I189+'RASHODI ZA VIJEĆE'!I190+'RASHODI ZA VIJEĆE'!I192)</f>
        <v>1977.6</v>
      </c>
      <c r="Q48" s="390">
        <f t="shared" si="0"/>
        <v>26.620002692152372</v>
      </c>
      <c r="R48" s="390">
        <f t="shared" si="1"/>
        <v>1</v>
      </c>
      <c r="S48" s="390">
        <f t="shared" si="2"/>
        <v>0.24719999999999998</v>
      </c>
      <c r="T48" s="391" t="s">
        <v>479</v>
      </c>
      <c r="U48" s="392"/>
      <c r="V48" s="392"/>
      <c r="W48" s="392"/>
      <c r="X48" s="392"/>
      <c r="Y48" s="392"/>
      <c r="Z48" s="392"/>
      <c r="AA48" s="392"/>
      <c r="AB48" s="392"/>
    </row>
    <row r="49" spans="1:28" s="336" customFormat="1" x14ac:dyDescent="0.3">
      <c r="A49" s="386">
        <v>27</v>
      </c>
      <c r="B49" s="471">
        <v>329</v>
      </c>
      <c r="C49" s="471"/>
      <c r="D49" s="471"/>
      <c r="E49" s="471"/>
      <c r="F49" s="471"/>
      <c r="G49" s="471"/>
      <c r="H49" s="471"/>
      <c r="I49" s="471"/>
      <c r="J49" s="388" t="s">
        <v>505</v>
      </c>
      <c r="K49" s="336" t="s">
        <v>62</v>
      </c>
      <c r="L49" s="389">
        <f>SUM('RASHODI ZA VIJEĆE'!E194+'RASHODI ZA VIJEĆE'!E197)</f>
        <v>7597.9699999999993</v>
      </c>
      <c r="M49" s="389">
        <f>SUM('RASHODI ZA VIJEĆE'!F194+'RASHODI ZA VIJEĆE'!F197)</f>
        <v>18511.95</v>
      </c>
      <c r="N49" s="389">
        <f>SUM('RASHODI ZA VIJEĆE'!G194+'RASHODI ZA VIJEĆE'!G197)</f>
        <v>14000</v>
      </c>
      <c r="O49" s="389">
        <f>SUM('RASHODI ZA VIJEĆE'!H194+'RASHODI ZA VIJEĆE'!H197)</f>
        <v>17000</v>
      </c>
      <c r="P49" s="389">
        <f>SUM('RASHODI ZA VIJEĆE'!I194+'RASHODI ZA VIJEĆE'!I197)</f>
        <v>18511.95</v>
      </c>
      <c r="Q49" s="390">
        <f t="shared" si="0"/>
        <v>2.4364336789958374</v>
      </c>
      <c r="R49" s="390">
        <f t="shared" si="1"/>
        <v>1</v>
      </c>
      <c r="S49" s="390">
        <f t="shared" si="2"/>
        <v>1.0889382352941177</v>
      </c>
      <c r="T49" s="391" t="s">
        <v>480</v>
      </c>
      <c r="U49" s="392"/>
      <c r="V49" s="392"/>
      <c r="W49" s="392"/>
      <c r="X49" s="392"/>
      <c r="Y49" s="392"/>
      <c r="Z49" s="392"/>
      <c r="AA49" s="392"/>
      <c r="AB49" s="392"/>
    </row>
    <row r="50" spans="1:28" s="336" customFormat="1" x14ac:dyDescent="0.3">
      <c r="A50" s="386">
        <v>28</v>
      </c>
      <c r="B50" s="471">
        <v>329</v>
      </c>
      <c r="C50" s="471"/>
      <c r="D50" s="471"/>
      <c r="E50" s="471"/>
      <c r="F50" s="471"/>
      <c r="G50" s="471"/>
      <c r="H50" s="471"/>
      <c r="I50" s="471"/>
      <c r="J50" s="388" t="s">
        <v>506</v>
      </c>
      <c r="K50" s="336" t="s">
        <v>78</v>
      </c>
      <c r="L50" s="389">
        <f>SUM('RASHODI ZA VIJEĆE'!E204:E207)</f>
        <v>126.86999999999999</v>
      </c>
      <c r="M50" s="389">
        <f>SUM('RASHODI ZA VIJEĆE'!F204:F207)</f>
        <v>503.49</v>
      </c>
      <c r="N50" s="389">
        <f>SUM('RASHODI ZA VIJEĆE'!G204:G207)</f>
        <v>10500</v>
      </c>
      <c r="O50" s="389">
        <f>SUM('RASHODI ZA VIJEĆE'!H204:H207)</f>
        <v>1200</v>
      </c>
      <c r="P50" s="389">
        <f>SUM('RASHODI ZA VIJEĆE'!I204:I207)</f>
        <v>503.49</v>
      </c>
      <c r="Q50" s="390">
        <f t="shared" si="0"/>
        <v>3.9685504847481679</v>
      </c>
      <c r="R50" s="390">
        <f t="shared" si="1"/>
        <v>1</v>
      </c>
      <c r="S50" s="390">
        <f t="shared" si="2"/>
        <v>0.41957500000000003</v>
      </c>
      <c r="T50" s="391" t="s">
        <v>481</v>
      </c>
      <c r="U50" s="392"/>
      <c r="V50" s="392"/>
      <c r="W50" s="392"/>
      <c r="X50" s="392"/>
      <c r="Y50" s="392"/>
      <c r="Z50" s="392"/>
      <c r="AA50" s="392"/>
      <c r="AB50" s="392"/>
    </row>
    <row r="51" spans="1:28" s="336" customFormat="1" x14ac:dyDescent="0.3">
      <c r="A51" s="386">
        <v>29</v>
      </c>
      <c r="B51" s="471">
        <v>329</v>
      </c>
      <c r="C51" s="471"/>
      <c r="D51" s="471"/>
      <c r="E51" s="471"/>
      <c r="F51" s="471"/>
      <c r="G51" s="471"/>
      <c r="H51" s="471"/>
      <c r="I51" s="471"/>
      <c r="J51" s="388" t="s">
        <v>504</v>
      </c>
      <c r="K51" s="336" t="s">
        <v>7</v>
      </c>
      <c r="L51" s="389">
        <f>SUM('RASHODI ZA VIJEĆE'!E211:E212)</f>
        <v>857.64</v>
      </c>
      <c r="M51" s="389">
        <f>SUM('RASHODI ZA VIJEĆE'!F211:F212)</f>
        <v>1420.73</v>
      </c>
      <c r="N51" s="389">
        <f>SUM('RASHODI ZA VIJEĆE'!G211:G212)</f>
        <v>6000</v>
      </c>
      <c r="O51" s="389">
        <f>SUM('RASHODI ZA VIJEĆE'!H211:H212)</f>
        <v>2200</v>
      </c>
      <c r="P51" s="389">
        <f>SUM('RASHODI ZA VIJEĆE'!I211:I212)</f>
        <v>1420.73</v>
      </c>
      <c r="Q51" s="390">
        <f t="shared" si="0"/>
        <v>1.6565575299659532</v>
      </c>
      <c r="R51" s="390">
        <f t="shared" si="1"/>
        <v>1</v>
      </c>
      <c r="S51" s="390">
        <f t="shared" si="2"/>
        <v>0.64578636363636366</v>
      </c>
      <c r="T51" s="391" t="s">
        <v>482</v>
      </c>
      <c r="U51" s="392"/>
      <c r="V51" s="392"/>
      <c r="W51" s="392"/>
      <c r="X51" s="392"/>
      <c r="Y51" s="392"/>
      <c r="Z51" s="392"/>
      <c r="AA51" s="392"/>
      <c r="AB51" s="392"/>
    </row>
    <row r="52" spans="1:28" s="336" customFormat="1" x14ac:dyDescent="0.3">
      <c r="A52" s="386"/>
      <c r="B52" s="471">
        <v>329</v>
      </c>
      <c r="C52" s="471"/>
      <c r="D52" s="471"/>
      <c r="E52" s="471"/>
      <c r="F52" s="471"/>
      <c r="G52" s="471"/>
      <c r="H52" s="471"/>
      <c r="I52" s="471"/>
      <c r="J52" s="388" t="s">
        <v>506</v>
      </c>
      <c r="K52" s="336" t="s">
        <v>387</v>
      </c>
      <c r="L52" s="389">
        <f>SUM('RASHODI ZA VIJEĆE'!E209)</f>
        <v>0</v>
      </c>
      <c r="M52" s="389">
        <f>SUM('RASHODI ZA VIJEĆE'!F209)</f>
        <v>0</v>
      </c>
      <c r="N52" s="389">
        <f>SUM('RASHODI ZA VIJEĆE'!G209)</f>
        <v>2500</v>
      </c>
      <c r="O52" s="389">
        <f>SUM('RASHODI ZA VIJEĆE'!H209)</f>
        <v>0</v>
      </c>
      <c r="P52" s="389">
        <f>SUM('RASHODI ZA VIJEĆE'!I209)</f>
        <v>0</v>
      </c>
      <c r="Q52" s="390">
        <f t="shared" si="0"/>
        <v>0</v>
      </c>
      <c r="R52" s="390">
        <f t="shared" si="1"/>
        <v>0</v>
      </c>
      <c r="S52" s="390">
        <f t="shared" si="2"/>
        <v>0</v>
      </c>
      <c r="T52" s="391"/>
      <c r="U52" s="392"/>
      <c r="V52" s="392"/>
      <c r="W52" s="392"/>
      <c r="X52" s="392"/>
      <c r="Y52" s="392"/>
      <c r="Z52" s="392"/>
      <c r="AA52" s="392"/>
      <c r="AB52" s="392"/>
    </row>
    <row r="53" spans="1:28" s="336" customFormat="1" x14ac:dyDescent="0.3">
      <c r="A53" s="386">
        <v>30</v>
      </c>
      <c r="B53" s="471">
        <v>329</v>
      </c>
      <c r="C53" s="471"/>
      <c r="D53" s="471"/>
      <c r="E53" s="471"/>
      <c r="F53" s="471"/>
      <c r="G53" s="471"/>
      <c r="H53" s="471"/>
      <c r="I53" s="471"/>
      <c r="J53" s="388" t="s">
        <v>506</v>
      </c>
      <c r="K53" s="336" t="s">
        <v>386</v>
      </c>
      <c r="L53" s="389">
        <f>SUM('RASHODI ZA VIJEĆE'!E202)</f>
        <v>30.53</v>
      </c>
      <c r="M53" s="389">
        <f>SUM('RASHODI ZA VIJEĆE'!F202)</f>
        <v>2104.19</v>
      </c>
      <c r="N53" s="389">
        <f>SUM('RASHODI ZA VIJEĆE'!G202)</f>
        <v>4000</v>
      </c>
      <c r="O53" s="389">
        <f>SUM('RASHODI ZA VIJEĆE'!H202)</f>
        <v>2200</v>
      </c>
      <c r="P53" s="389">
        <f>SUM('RASHODI ZA VIJEĆE'!I202)</f>
        <v>2104.19</v>
      </c>
      <c r="Q53" s="390">
        <f t="shared" si="0"/>
        <v>68.922043891254503</v>
      </c>
      <c r="R53" s="390">
        <f t="shared" si="1"/>
        <v>1</v>
      </c>
      <c r="S53" s="390">
        <f t="shared" si="2"/>
        <v>0.95645000000000002</v>
      </c>
      <c r="T53" s="391">
        <v>194</v>
      </c>
      <c r="U53" s="392"/>
      <c r="V53" s="392"/>
      <c r="W53" s="392"/>
      <c r="X53" s="392"/>
      <c r="Y53" s="392"/>
      <c r="Z53" s="392"/>
      <c r="AA53" s="392"/>
      <c r="AB53" s="392"/>
    </row>
    <row r="54" spans="1:28" s="322" customFormat="1" x14ac:dyDescent="0.3">
      <c r="A54" s="394"/>
      <c r="B54" s="472">
        <v>34</v>
      </c>
      <c r="C54" s="472"/>
      <c r="D54" s="472"/>
      <c r="E54" s="472"/>
      <c r="F54" s="472"/>
      <c r="G54" s="472"/>
      <c r="H54" s="472"/>
      <c r="I54" s="472"/>
      <c r="J54" s="395"/>
      <c r="K54" s="273" t="s">
        <v>8</v>
      </c>
      <c r="L54" s="379">
        <f>SUM(L55)</f>
        <v>2456.34</v>
      </c>
      <c r="M54" s="379">
        <f>SUM(M55)</f>
        <v>5121.6400000000003</v>
      </c>
      <c r="N54" s="379">
        <f>SUM(N55)</f>
        <v>8000</v>
      </c>
      <c r="O54" s="379">
        <f>SUM(O55)</f>
        <v>6000</v>
      </c>
      <c r="P54" s="379">
        <f>SUM(P55)</f>
        <v>5121.6400000000003</v>
      </c>
      <c r="Q54" s="380">
        <f t="shared" si="0"/>
        <v>2.0850696564807802</v>
      </c>
      <c r="R54" s="380">
        <f t="shared" si="1"/>
        <v>1</v>
      </c>
      <c r="S54" s="380">
        <f t="shared" si="2"/>
        <v>0.85360666666666674</v>
      </c>
      <c r="T54" s="381"/>
      <c r="U54" s="357"/>
      <c r="V54" s="357"/>
      <c r="W54" s="357"/>
      <c r="X54" s="357"/>
      <c r="Y54" s="357"/>
      <c r="Z54" s="357"/>
      <c r="AA54" s="357"/>
      <c r="AB54" s="357"/>
    </row>
    <row r="55" spans="1:28" s="336" customFormat="1" x14ac:dyDescent="0.3">
      <c r="A55" s="386">
        <v>31</v>
      </c>
      <c r="B55" s="471">
        <v>343</v>
      </c>
      <c r="C55" s="471"/>
      <c r="D55" s="471"/>
      <c r="E55" s="471"/>
      <c r="F55" s="471"/>
      <c r="G55" s="471"/>
      <c r="H55" s="471"/>
      <c r="I55" s="471"/>
      <c r="J55" s="388" t="s">
        <v>506</v>
      </c>
      <c r="K55" s="336" t="s">
        <v>61</v>
      </c>
      <c r="L55" s="389">
        <f>SUM('RASHODI ZA VIJEĆE'!E216+'RASHODI ZA VIJEĆE'!E217+'RASHODI ZA VIJEĆE'!E218+'RASHODI ZA VIJEĆE'!E219+'RASHODI ZA VIJEĆE'!E220)</f>
        <v>2456.34</v>
      </c>
      <c r="M55" s="389">
        <f>SUM('RASHODI ZA VIJEĆE'!F216+'RASHODI ZA VIJEĆE'!F217+'RASHODI ZA VIJEĆE'!F218+'RASHODI ZA VIJEĆE'!F219+'RASHODI ZA VIJEĆE'!F220)</f>
        <v>5121.6400000000003</v>
      </c>
      <c r="N55" s="389">
        <f>SUM('RASHODI ZA VIJEĆE'!G216+'RASHODI ZA VIJEĆE'!G217+'RASHODI ZA VIJEĆE'!G218+'RASHODI ZA VIJEĆE'!G219+'RASHODI ZA VIJEĆE'!G220)</f>
        <v>8000</v>
      </c>
      <c r="O55" s="389">
        <f>SUM('RASHODI ZA VIJEĆE'!H216+'RASHODI ZA VIJEĆE'!H217+'RASHODI ZA VIJEĆE'!H218+'RASHODI ZA VIJEĆE'!H219+'RASHODI ZA VIJEĆE'!H220)</f>
        <v>6000</v>
      </c>
      <c r="P55" s="389">
        <f>SUM('RASHODI ZA VIJEĆE'!I216+'RASHODI ZA VIJEĆE'!I217+'RASHODI ZA VIJEĆE'!I218+'RASHODI ZA VIJEĆE'!I219+'RASHODI ZA VIJEĆE'!I220)</f>
        <v>5121.6400000000003</v>
      </c>
      <c r="Q55" s="390">
        <f t="shared" si="0"/>
        <v>2.0850696564807802</v>
      </c>
      <c r="R55" s="390">
        <f t="shared" si="1"/>
        <v>1</v>
      </c>
      <c r="S55" s="390">
        <f t="shared" si="2"/>
        <v>0.85360666666666674</v>
      </c>
      <c r="T55" s="391" t="s">
        <v>483</v>
      </c>
      <c r="U55" s="392"/>
      <c r="V55" s="392"/>
      <c r="W55" s="392"/>
      <c r="X55" s="392"/>
      <c r="Y55" s="392"/>
      <c r="Z55" s="392"/>
      <c r="AA55" s="392"/>
      <c r="AB55" s="392"/>
    </row>
    <row r="56" spans="1:28" s="322" customFormat="1" x14ac:dyDescent="0.3">
      <c r="A56" s="394"/>
      <c r="B56" s="472">
        <v>36</v>
      </c>
      <c r="C56" s="472"/>
      <c r="D56" s="472"/>
      <c r="E56" s="472"/>
      <c r="F56" s="472"/>
      <c r="G56" s="472"/>
      <c r="H56" s="472"/>
      <c r="I56" s="472"/>
      <c r="J56" s="395"/>
      <c r="K56" s="273" t="s">
        <v>382</v>
      </c>
      <c r="L56" s="379">
        <f>SUM(L57)</f>
        <v>0</v>
      </c>
      <c r="M56" s="379">
        <f>SUM(M57)</f>
        <v>25790.42</v>
      </c>
      <c r="N56" s="379">
        <f>SUM(N57)</f>
        <v>0</v>
      </c>
      <c r="O56" s="379">
        <f>SUM(O57)</f>
        <v>26500</v>
      </c>
      <c r="P56" s="379">
        <f>SUM(P57)</f>
        <v>25790.42</v>
      </c>
      <c r="Q56" s="380">
        <f t="shared" si="0"/>
        <v>0</v>
      </c>
      <c r="R56" s="380">
        <f t="shared" si="1"/>
        <v>1</v>
      </c>
      <c r="S56" s="380">
        <f t="shared" si="2"/>
        <v>0.97322339622641507</v>
      </c>
      <c r="T56" s="396"/>
      <c r="U56" s="357"/>
      <c r="V56" s="357"/>
      <c r="W56" s="357"/>
      <c r="X56" s="357"/>
      <c r="Y56" s="357"/>
      <c r="Z56" s="357"/>
      <c r="AA56" s="357"/>
      <c r="AB56" s="357"/>
    </row>
    <row r="57" spans="1:28" s="336" customFormat="1" x14ac:dyDescent="0.3">
      <c r="A57" s="386">
        <v>32</v>
      </c>
      <c r="B57" s="471">
        <v>363</v>
      </c>
      <c r="C57" s="471"/>
      <c r="D57" s="471"/>
      <c r="E57" s="471"/>
      <c r="F57" s="471"/>
      <c r="G57" s="471"/>
      <c r="H57" s="471"/>
      <c r="I57" s="471"/>
      <c r="J57" s="388" t="s">
        <v>506</v>
      </c>
      <c r="K57" s="336" t="s">
        <v>401</v>
      </c>
      <c r="L57" s="389">
        <f>SUM('RASHODI ZA VIJEĆE'!E235+'RASHODI ZA VIJEĆE'!E233)</f>
        <v>0</v>
      </c>
      <c r="M57" s="389">
        <f>SUM('RASHODI ZA VIJEĆE'!F235+'RASHODI ZA VIJEĆE'!F233)</f>
        <v>25790.42</v>
      </c>
      <c r="N57" s="389">
        <f>SUM('RASHODI ZA VIJEĆE'!G235+'RASHODI ZA VIJEĆE'!G233)</f>
        <v>0</v>
      </c>
      <c r="O57" s="389">
        <f>SUM('RASHODI ZA VIJEĆE'!H235+'RASHODI ZA VIJEĆE'!H233)</f>
        <v>26500</v>
      </c>
      <c r="P57" s="389">
        <f>SUM('RASHODI ZA VIJEĆE'!I235+'RASHODI ZA VIJEĆE'!I233)</f>
        <v>25790.42</v>
      </c>
      <c r="Q57" s="390">
        <f t="shared" si="0"/>
        <v>0</v>
      </c>
      <c r="R57" s="390">
        <f t="shared" si="1"/>
        <v>1</v>
      </c>
      <c r="S57" s="390">
        <f t="shared" si="2"/>
        <v>0.97322339622641507</v>
      </c>
      <c r="T57" s="391"/>
      <c r="U57" s="392"/>
      <c r="V57" s="392"/>
      <c r="W57" s="392"/>
      <c r="X57" s="392"/>
      <c r="Y57" s="392"/>
      <c r="Z57" s="392"/>
      <c r="AA57" s="392"/>
      <c r="AB57" s="392"/>
    </row>
    <row r="58" spans="1:28" s="322" customFormat="1" x14ac:dyDescent="0.3">
      <c r="A58" s="394"/>
      <c r="B58" s="472">
        <v>38</v>
      </c>
      <c r="C58" s="472"/>
      <c r="D58" s="472"/>
      <c r="E58" s="472"/>
      <c r="F58" s="472"/>
      <c r="G58" s="472"/>
      <c r="H58" s="472"/>
      <c r="I58" s="472"/>
      <c r="J58" s="395"/>
      <c r="K58" s="273" t="s">
        <v>22</v>
      </c>
      <c r="L58" s="379">
        <f>SUM(L59:L59)</f>
        <v>0</v>
      </c>
      <c r="M58" s="379">
        <f>SUM(M59:M59)</f>
        <v>0</v>
      </c>
      <c r="N58" s="379">
        <f>SUM(N59:N59)</f>
        <v>1500</v>
      </c>
      <c r="O58" s="379">
        <f>SUM(O59:O59)</f>
        <v>0</v>
      </c>
      <c r="P58" s="379">
        <f>SUM(P59:P59)</f>
        <v>0</v>
      </c>
      <c r="Q58" s="380">
        <f t="shared" si="0"/>
        <v>0</v>
      </c>
      <c r="R58" s="380">
        <f t="shared" si="1"/>
        <v>0</v>
      </c>
      <c r="S58" s="380">
        <f t="shared" si="2"/>
        <v>0</v>
      </c>
      <c r="T58" s="396"/>
      <c r="U58" s="357"/>
      <c r="V58" s="357"/>
      <c r="W58" s="357"/>
      <c r="X58" s="357"/>
      <c r="Y58" s="357"/>
      <c r="Z58" s="357"/>
      <c r="AA58" s="357"/>
      <c r="AB58" s="357"/>
    </row>
    <row r="59" spans="1:28" s="336" customFormat="1" x14ac:dyDescent="0.3">
      <c r="A59" s="386">
        <v>33</v>
      </c>
      <c r="B59" s="471">
        <v>383</v>
      </c>
      <c r="C59" s="471"/>
      <c r="D59" s="471"/>
      <c r="E59" s="471"/>
      <c r="F59" s="471"/>
      <c r="G59" s="471"/>
      <c r="H59" s="471"/>
      <c r="I59" s="471"/>
      <c r="J59" s="388" t="s">
        <v>506</v>
      </c>
      <c r="K59" s="397" t="s">
        <v>498</v>
      </c>
      <c r="L59" s="389">
        <f>SUM('RASHODI ZA VIJEĆE'!E336)</f>
        <v>0</v>
      </c>
      <c r="M59" s="389">
        <f>SUM('RASHODI ZA VIJEĆE'!F336)</f>
        <v>0</v>
      </c>
      <c r="N59" s="389">
        <f>SUM('RASHODI ZA VIJEĆE'!G336)</f>
        <v>1500</v>
      </c>
      <c r="O59" s="389">
        <f>SUM('RASHODI ZA VIJEĆE'!H336)</f>
        <v>0</v>
      </c>
      <c r="P59" s="389">
        <f>SUM('RASHODI ZA VIJEĆE'!I336)</f>
        <v>0</v>
      </c>
      <c r="Q59" s="390">
        <f t="shared" si="0"/>
        <v>0</v>
      </c>
      <c r="R59" s="390">
        <f t="shared" si="1"/>
        <v>0</v>
      </c>
      <c r="S59" s="390">
        <f t="shared" si="2"/>
        <v>0</v>
      </c>
      <c r="T59" s="391"/>
      <c r="U59" s="392"/>
      <c r="V59" s="392"/>
      <c r="W59" s="392"/>
      <c r="X59" s="392"/>
      <c r="Y59" s="392"/>
      <c r="Z59" s="392"/>
      <c r="AA59" s="392"/>
      <c r="AB59" s="392"/>
    </row>
    <row r="60" spans="1:28" s="322" customFormat="1" x14ac:dyDescent="0.3">
      <c r="A60" s="394"/>
      <c r="B60" s="472" t="s">
        <v>834</v>
      </c>
      <c r="C60" s="472"/>
      <c r="D60" s="472"/>
      <c r="E60" s="472"/>
      <c r="F60" s="472"/>
      <c r="G60" s="472"/>
      <c r="H60" s="472"/>
      <c r="I60" s="472"/>
      <c r="J60" s="472"/>
      <c r="K60" s="472"/>
      <c r="L60" s="379"/>
      <c r="M60" s="379"/>
      <c r="N60" s="379"/>
      <c r="O60" s="379"/>
      <c r="P60" s="379"/>
      <c r="Q60" s="380"/>
      <c r="R60" s="380"/>
      <c r="S60" s="380"/>
      <c r="T60" s="381"/>
      <c r="U60" s="357"/>
      <c r="V60" s="357"/>
      <c r="W60" s="357"/>
      <c r="X60" s="357"/>
      <c r="Y60" s="357"/>
      <c r="Z60" s="357"/>
      <c r="AA60" s="357"/>
      <c r="AB60" s="357"/>
    </row>
    <row r="61" spans="1:28" s="322" customFormat="1" x14ac:dyDescent="0.3">
      <c r="A61" s="394"/>
      <c r="B61" s="472">
        <v>3</v>
      </c>
      <c r="C61" s="472"/>
      <c r="D61" s="472"/>
      <c r="E61" s="472"/>
      <c r="F61" s="472"/>
      <c r="G61" s="472"/>
      <c r="H61" s="472"/>
      <c r="I61" s="472"/>
      <c r="J61" s="395"/>
      <c r="K61" s="273" t="s">
        <v>20</v>
      </c>
      <c r="L61" s="379">
        <f t="shared" ref="L61:P62" si="3">SUM(L62)</f>
        <v>0</v>
      </c>
      <c r="M61" s="379">
        <f t="shared" si="3"/>
        <v>39665.32</v>
      </c>
      <c r="N61" s="379">
        <f t="shared" si="3"/>
        <v>40000</v>
      </c>
      <c r="O61" s="379">
        <f t="shared" si="3"/>
        <v>42000</v>
      </c>
      <c r="P61" s="379">
        <f t="shared" si="3"/>
        <v>39665.32</v>
      </c>
      <c r="Q61" s="380">
        <f>IFERROR(SUM(P61/L61),0)</f>
        <v>0</v>
      </c>
      <c r="R61" s="380">
        <f>IFERROR(SUM(P61/M61),0)</f>
        <v>1</v>
      </c>
      <c r="S61" s="380">
        <f>IFERROR(SUM(P61/O61),0)</f>
        <v>0.94441238095238089</v>
      </c>
      <c r="T61" s="381"/>
      <c r="U61" s="357"/>
      <c r="V61" s="357"/>
      <c r="W61" s="357"/>
      <c r="X61" s="357"/>
      <c r="Y61" s="357"/>
      <c r="Z61" s="357"/>
      <c r="AA61" s="357"/>
      <c r="AB61" s="357"/>
    </row>
    <row r="62" spans="1:28" s="322" customFormat="1" x14ac:dyDescent="0.3">
      <c r="A62" s="394"/>
      <c r="B62" s="472">
        <v>32</v>
      </c>
      <c r="C62" s="472"/>
      <c r="D62" s="472"/>
      <c r="E62" s="472"/>
      <c r="F62" s="472"/>
      <c r="G62" s="472"/>
      <c r="H62" s="472"/>
      <c r="I62" s="472"/>
      <c r="J62" s="395"/>
      <c r="K62" s="273" t="s">
        <v>3</v>
      </c>
      <c r="L62" s="379">
        <f t="shared" si="3"/>
        <v>0</v>
      </c>
      <c r="M62" s="379">
        <f t="shared" si="3"/>
        <v>39665.32</v>
      </c>
      <c r="N62" s="379">
        <f t="shared" si="3"/>
        <v>40000</v>
      </c>
      <c r="O62" s="379">
        <f t="shared" si="3"/>
        <v>42000</v>
      </c>
      <c r="P62" s="379">
        <f t="shared" si="3"/>
        <v>39665.32</v>
      </c>
      <c r="Q62" s="380">
        <f>IFERROR(SUM(P62/L62),0)</f>
        <v>0</v>
      </c>
      <c r="R62" s="380">
        <f>IFERROR(SUM(P62/M62),0)</f>
        <v>1</v>
      </c>
      <c r="S62" s="380">
        <f>IFERROR(SUM(P62/O62),0)</f>
        <v>0.94441238095238089</v>
      </c>
      <c r="T62" s="381"/>
      <c r="U62" s="357"/>
      <c r="V62" s="357"/>
      <c r="W62" s="357"/>
      <c r="X62" s="357"/>
      <c r="Y62" s="357"/>
      <c r="Z62" s="357"/>
      <c r="AA62" s="357"/>
      <c r="AB62" s="357"/>
    </row>
    <row r="63" spans="1:28" s="336" customFormat="1" x14ac:dyDescent="0.3">
      <c r="A63" s="386">
        <v>34</v>
      </c>
      <c r="B63" s="471">
        <v>329</v>
      </c>
      <c r="C63" s="471"/>
      <c r="D63" s="471"/>
      <c r="E63" s="471"/>
      <c r="F63" s="471"/>
      <c r="G63" s="471"/>
      <c r="H63" s="471"/>
      <c r="I63" s="471"/>
      <c r="J63" s="388" t="s">
        <v>528</v>
      </c>
      <c r="K63" s="336" t="s">
        <v>62</v>
      </c>
      <c r="L63" s="389">
        <f>SUM('RASHODI ZA VIJEĆE'!E198)</f>
        <v>0</v>
      </c>
      <c r="M63" s="389">
        <f>SUM('RASHODI ZA VIJEĆE'!F198)</f>
        <v>39665.32</v>
      </c>
      <c r="N63" s="389">
        <f>SUM('RASHODI ZA VIJEĆE'!G198)</f>
        <v>40000</v>
      </c>
      <c r="O63" s="389">
        <f>SUM('RASHODI ZA VIJEĆE'!H198)</f>
        <v>42000</v>
      </c>
      <c r="P63" s="389">
        <f>SUM('RASHODI ZA VIJEĆE'!I198)</f>
        <v>39665.32</v>
      </c>
      <c r="Q63" s="390">
        <f>IFERROR(SUM(P63/L63),0)</f>
        <v>0</v>
      </c>
      <c r="R63" s="390">
        <f>IFERROR(SUM(P63/M63),0)</f>
        <v>1</v>
      </c>
      <c r="S63" s="390">
        <f>IFERROR(SUM(P63/O63),0)</f>
        <v>0.94441238095238089</v>
      </c>
      <c r="T63" s="391">
        <v>192</v>
      </c>
    </row>
    <row r="64" spans="1:28" s="322" customFormat="1" x14ac:dyDescent="0.3">
      <c r="A64" s="394"/>
      <c r="B64" s="472" t="s">
        <v>846</v>
      </c>
      <c r="C64" s="472"/>
      <c r="D64" s="472"/>
      <c r="E64" s="472"/>
      <c r="F64" s="472"/>
      <c r="G64" s="472"/>
      <c r="H64" s="472"/>
      <c r="I64" s="472"/>
      <c r="J64" s="472"/>
      <c r="K64" s="472"/>
      <c r="L64" s="379"/>
      <c r="M64" s="379"/>
      <c r="N64" s="379"/>
      <c r="O64" s="379"/>
      <c r="P64" s="379"/>
      <c r="Q64" s="380"/>
      <c r="R64" s="380"/>
      <c r="S64" s="380"/>
      <c r="T64" s="396"/>
    </row>
    <row r="65" spans="1:28" s="322" customFormat="1" x14ac:dyDescent="0.3">
      <c r="A65" s="394"/>
      <c r="B65" s="472">
        <v>3</v>
      </c>
      <c r="C65" s="472"/>
      <c r="D65" s="472"/>
      <c r="E65" s="472"/>
      <c r="F65" s="472"/>
      <c r="G65" s="472"/>
      <c r="H65" s="472"/>
      <c r="I65" s="472"/>
      <c r="J65" s="384"/>
      <c r="K65" s="273" t="s">
        <v>20</v>
      </c>
      <c r="L65" s="379">
        <f>SUM(L66)</f>
        <v>231.4</v>
      </c>
      <c r="M65" s="379">
        <f t="shared" ref="M65:P66" si="4">SUM(M66)</f>
        <v>231.4</v>
      </c>
      <c r="N65" s="379">
        <f t="shared" si="4"/>
        <v>3000</v>
      </c>
      <c r="O65" s="379">
        <f t="shared" si="4"/>
        <v>500</v>
      </c>
      <c r="P65" s="379">
        <f t="shared" si="4"/>
        <v>231.4</v>
      </c>
      <c r="Q65" s="380">
        <f t="shared" ref="Q65:Q71" si="5">IFERROR(SUM(P65/L65),0)</f>
        <v>1</v>
      </c>
      <c r="R65" s="380">
        <f t="shared" ref="R65:R71" si="6">IFERROR(SUM(P65/M65),0)</f>
        <v>1</v>
      </c>
      <c r="S65" s="380">
        <f t="shared" ref="S65:S71" si="7">IFERROR(SUM(P65/O65),0)</f>
        <v>0.46279999999999999</v>
      </c>
      <c r="T65" s="396"/>
    </row>
    <row r="66" spans="1:28" s="322" customFormat="1" x14ac:dyDescent="0.3">
      <c r="A66" s="394"/>
      <c r="B66" s="472">
        <v>32</v>
      </c>
      <c r="C66" s="472"/>
      <c r="D66" s="472"/>
      <c r="E66" s="472"/>
      <c r="F66" s="472"/>
      <c r="G66" s="472"/>
      <c r="H66" s="472"/>
      <c r="I66" s="472"/>
      <c r="J66" s="384"/>
      <c r="K66" s="273" t="s">
        <v>3</v>
      </c>
      <c r="L66" s="379">
        <f>SUM(L67)</f>
        <v>231.4</v>
      </c>
      <c r="M66" s="379">
        <f t="shared" si="4"/>
        <v>231.4</v>
      </c>
      <c r="N66" s="379">
        <f t="shared" si="4"/>
        <v>3000</v>
      </c>
      <c r="O66" s="379">
        <f t="shared" si="4"/>
        <v>500</v>
      </c>
      <c r="P66" s="379">
        <f t="shared" si="4"/>
        <v>231.4</v>
      </c>
      <c r="Q66" s="380">
        <f t="shared" si="5"/>
        <v>1</v>
      </c>
      <c r="R66" s="380">
        <f t="shared" si="6"/>
        <v>1</v>
      </c>
      <c r="S66" s="380">
        <f t="shared" si="7"/>
        <v>0.46279999999999999</v>
      </c>
      <c r="T66" s="396"/>
    </row>
    <row r="67" spans="1:28" s="336" customFormat="1" x14ac:dyDescent="0.3">
      <c r="A67" s="386">
        <v>35</v>
      </c>
      <c r="B67" s="471">
        <v>329</v>
      </c>
      <c r="C67" s="471"/>
      <c r="D67" s="471"/>
      <c r="E67" s="471"/>
      <c r="F67" s="471"/>
      <c r="G67" s="471"/>
      <c r="H67" s="471"/>
      <c r="I67" s="471"/>
      <c r="J67" s="388" t="s">
        <v>528</v>
      </c>
      <c r="K67" s="336" t="s">
        <v>62</v>
      </c>
      <c r="L67" s="389">
        <f>SUM('RASHODI ZA VIJEĆE'!E200)</f>
        <v>231.4</v>
      </c>
      <c r="M67" s="389">
        <f>SUM('RASHODI ZA VIJEĆE'!F200)</f>
        <v>231.4</v>
      </c>
      <c r="N67" s="389">
        <f>SUM('RASHODI ZA VIJEĆE'!G200)</f>
        <v>3000</v>
      </c>
      <c r="O67" s="389">
        <f>SUM('RASHODI ZA VIJEĆE'!H200)</f>
        <v>500</v>
      </c>
      <c r="P67" s="389">
        <f>SUM('RASHODI ZA VIJEĆE'!I200)</f>
        <v>231.4</v>
      </c>
      <c r="Q67" s="390">
        <f t="shared" si="5"/>
        <v>1</v>
      </c>
      <c r="R67" s="390">
        <f t="shared" si="6"/>
        <v>1</v>
      </c>
      <c r="S67" s="390">
        <f t="shared" si="7"/>
        <v>0.46279999999999999</v>
      </c>
      <c r="T67" s="391"/>
    </row>
    <row r="68" spans="1:28" s="322" customFormat="1" x14ac:dyDescent="0.3">
      <c r="A68" s="394"/>
      <c r="B68" s="273" t="s">
        <v>893</v>
      </c>
      <c r="C68" s="378"/>
      <c r="D68" s="378"/>
      <c r="E68" s="378"/>
      <c r="F68" s="378"/>
      <c r="G68" s="378"/>
      <c r="H68" s="378"/>
      <c r="I68" s="378"/>
      <c r="J68" s="395"/>
      <c r="L68" s="398"/>
      <c r="M68" s="398"/>
      <c r="N68" s="398"/>
      <c r="O68" s="398"/>
      <c r="P68" s="398"/>
      <c r="Q68" s="399">
        <f t="shared" si="5"/>
        <v>0</v>
      </c>
      <c r="R68" s="399">
        <f t="shared" si="6"/>
        <v>0</v>
      </c>
      <c r="S68" s="399">
        <f t="shared" si="7"/>
        <v>0</v>
      </c>
      <c r="T68" s="396"/>
    </row>
    <row r="69" spans="1:28" s="273" customFormat="1" x14ac:dyDescent="0.3">
      <c r="A69" s="377"/>
      <c r="B69" s="472">
        <v>3</v>
      </c>
      <c r="C69" s="472"/>
      <c r="D69" s="472"/>
      <c r="E69" s="472"/>
      <c r="F69" s="472"/>
      <c r="G69" s="472"/>
      <c r="H69" s="472"/>
      <c r="I69" s="472"/>
      <c r="J69" s="384"/>
      <c r="K69" s="273" t="s">
        <v>20</v>
      </c>
      <c r="L69" s="379">
        <f t="shared" ref="L69:P70" si="8">SUM(L70)</f>
        <v>1025.25</v>
      </c>
      <c r="M69" s="379">
        <f t="shared" si="8"/>
        <v>4300.08</v>
      </c>
      <c r="N69" s="379">
        <f t="shared" si="8"/>
        <v>5000</v>
      </c>
      <c r="O69" s="379">
        <f t="shared" si="8"/>
        <v>4400</v>
      </c>
      <c r="P69" s="379">
        <f t="shared" si="8"/>
        <v>4300.08</v>
      </c>
      <c r="Q69" s="380">
        <f t="shared" si="5"/>
        <v>4.1941770299926846</v>
      </c>
      <c r="R69" s="380">
        <f t="shared" si="6"/>
        <v>1</v>
      </c>
      <c r="S69" s="380">
        <f t="shared" si="7"/>
        <v>0.9772909090909091</v>
      </c>
      <c r="T69" s="381"/>
    </row>
    <row r="70" spans="1:28" s="322" customFormat="1" x14ac:dyDescent="0.3">
      <c r="A70" s="394"/>
      <c r="B70" s="472">
        <v>38</v>
      </c>
      <c r="C70" s="472"/>
      <c r="D70" s="472"/>
      <c r="E70" s="472"/>
      <c r="F70" s="472"/>
      <c r="G70" s="472"/>
      <c r="H70" s="472"/>
      <c r="I70" s="472"/>
      <c r="J70" s="395" t="s">
        <v>506</v>
      </c>
      <c r="K70" s="273" t="s">
        <v>22</v>
      </c>
      <c r="L70" s="379">
        <f t="shared" si="8"/>
        <v>1025.25</v>
      </c>
      <c r="M70" s="379">
        <f t="shared" si="8"/>
        <v>4300.08</v>
      </c>
      <c r="N70" s="379">
        <f t="shared" si="8"/>
        <v>5000</v>
      </c>
      <c r="O70" s="379">
        <f t="shared" si="8"/>
        <v>4400</v>
      </c>
      <c r="P70" s="379">
        <f t="shared" si="8"/>
        <v>4300.08</v>
      </c>
      <c r="Q70" s="380">
        <f t="shared" si="5"/>
        <v>4.1941770299926846</v>
      </c>
      <c r="R70" s="380">
        <f t="shared" si="6"/>
        <v>1</v>
      </c>
      <c r="S70" s="380">
        <f t="shared" si="7"/>
        <v>0.9772909090909091</v>
      </c>
      <c r="T70" s="396"/>
    </row>
    <row r="71" spans="1:28" s="336" customFormat="1" x14ac:dyDescent="0.3">
      <c r="A71" s="386">
        <v>36</v>
      </c>
      <c r="B71" s="471">
        <v>381</v>
      </c>
      <c r="C71" s="471"/>
      <c r="D71" s="471"/>
      <c r="E71" s="471"/>
      <c r="F71" s="471"/>
      <c r="G71" s="471"/>
      <c r="H71" s="471"/>
      <c r="I71" s="471"/>
      <c r="J71" s="388"/>
      <c r="K71" s="336" t="s">
        <v>812</v>
      </c>
      <c r="L71" s="389">
        <f>SUM('RASHODI ZA VIJEĆE'!E274+'RASHODI ZA VIJEĆE'!E275+'RASHODI ZA VIJEĆE'!E276+'RASHODI ZA VIJEĆE'!E277+'RASHODI ZA VIJEĆE'!E278+'RASHODI ZA VIJEĆE'!E279+'RASHODI ZA VIJEĆE'!E280)</f>
        <v>1025.25</v>
      </c>
      <c r="M71" s="389">
        <f>SUM('RASHODI ZA VIJEĆE'!F274+'RASHODI ZA VIJEĆE'!F275+'RASHODI ZA VIJEĆE'!F276+'RASHODI ZA VIJEĆE'!F277+'RASHODI ZA VIJEĆE'!F278+'RASHODI ZA VIJEĆE'!F279+'RASHODI ZA VIJEĆE'!F280)</f>
        <v>4300.08</v>
      </c>
      <c r="N71" s="389">
        <f>SUM('RASHODI ZA VIJEĆE'!G274+'RASHODI ZA VIJEĆE'!G275+'RASHODI ZA VIJEĆE'!G276+'RASHODI ZA VIJEĆE'!G277+'RASHODI ZA VIJEĆE'!G278+'RASHODI ZA VIJEĆE'!G279+'RASHODI ZA VIJEĆE'!G280)</f>
        <v>5000</v>
      </c>
      <c r="O71" s="389">
        <f>SUM('RASHODI ZA VIJEĆE'!H274+'RASHODI ZA VIJEĆE'!H275+'RASHODI ZA VIJEĆE'!H276+'RASHODI ZA VIJEĆE'!H277+'RASHODI ZA VIJEĆE'!H278+'RASHODI ZA VIJEĆE'!H279+'RASHODI ZA VIJEĆE'!H280)</f>
        <v>4400</v>
      </c>
      <c r="P71" s="389">
        <f>SUM('RASHODI ZA VIJEĆE'!I274+'RASHODI ZA VIJEĆE'!I275+'RASHODI ZA VIJEĆE'!I276+'RASHODI ZA VIJEĆE'!I277+'RASHODI ZA VIJEĆE'!I278+'RASHODI ZA VIJEĆE'!I279+'RASHODI ZA VIJEĆE'!I280)</f>
        <v>4300.08</v>
      </c>
      <c r="Q71" s="390">
        <f t="shared" si="5"/>
        <v>4.1941770299926846</v>
      </c>
      <c r="R71" s="390">
        <f t="shared" si="6"/>
        <v>1</v>
      </c>
      <c r="S71" s="390">
        <f t="shared" si="7"/>
        <v>0.9772909090909091</v>
      </c>
      <c r="T71" s="391"/>
    </row>
    <row r="72" spans="1:28" s="322" customFormat="1" x14ac:dyDescent="0.3">
      <c r="A72" s="394"/>
      <c r="B72" s="472" t="s">
        <v>999</v>
      </c>
      <c r="C72" s="472"/>
      <c r="D72" s="472"/>
      <c r="E72" s="472"/>
      <c r="F72" s="472"/>
      <c r="G72" s="472"/>
      <c r="H72" s="472"/>
      <c r="I72" s="472"/>
      <c r="J72" s="472"/>
      <c r="K72" s="472"/>
      <c r="L72" s="398"/>
      <c r="M72" s="398"/>
      <c r="N72" s="398"/>
      <c r="O72" s="398"/>
      <c r="P72" s="398"/>
      <c r="Q72" s="399"/>
      <c r="R72" s="399"/>
      <c r="S72" s="399"/>
      <c r="T72" s="396"/>
    </row>
    <row r="73" spans="1:28" s="322" customFormat="1" x14ac:dyDescent="0.3">
      <c r="A73" s="394"/>
      <c r="B73" s="472">
        <v>3</v>
      </c>
      <c r="C73" s="472"/>
      <c r="D73" s="472"/>
      <c r="E73" s="472"/>
      <c r="F73" s="472"/>
      <c r="G73" s="472"/>
      <c r="H73" s="472"/>
      <c r="I73" s="472"/>
      <c r="J73" s="384"/>
      <c r="K73" s="273" t="s">
        <v>20</v>
      </c>
      <c r="L73" s="379">
        <f>SUM(L74)</f>
        <v>4540</v>
      </c>
      <c r="M73" s="379">
        <f t="shared" ref="M73:P74" si="9">SUM(M74)</f>
        <v>4540</v>
      </c>
      <c r="N73" s="379">
        <f t="shared" si="9"/>
        <v>0</v>
      </c>
      <c r="O73" s="379">
        <f t="shared" si="9"/>
        <v>4600</v>
      </c>
      <c r="P73" s="379">
        <f t="shared" si="9"/>
        <v>4540</v>
      </c>
      <c r="Q73" s="380">
        <f>IFERROR(SUM(P73/L73),0)</f>
        <v>1</v>
      </c>
      <c r="R73" s="380">
        <f>IFERROR(SUM(P73/M73),0)</f>
        <v>1</v>
      </c>
      <c r="S73" s="380">
        <f>IFERROR(SUM(P73/O73),0)</f>
        <v>0.9869565217391304</v>
      </c>
      <c r="T73" s="396"/>
    </row>
    <row r="74" spans="1:28" s="322" customFormat="1" x14ac:dyDescent="0.3">
      <c r="A74" s="394"/>
      <c r="B74" s="472">
        <v>32</v>
      </c>
      <c r="C74" s="472"/>
      <c r="D74" s="472"/>
      <c r="E74" s="472"/>
      <c r="F74" s="472"/>
      <c r="G74" s="472"/>
      <c r="H74" s="472"/>
      <c r="I74" s="472"/>
      <c r="J74" s="384"/>
      <c r="K74" s="273" t="s">
        <v>3</v>
      </c>
      <c r="L74" s="379">
        <f>SUM(L75)</f>
        <v>4540</v>
      </c>
      <c r="M74" s="379">
        <f t="shared" si="9"/>
        <v>4540</v>
      </c>
      <c r="N74" s="379">
        <f t="shared" si="9"/>
        <v>0</v>
      </c>
      <c r="O74" s="379">
        <f t="shared" si="9"/>
        <v>4600</v>
      </c>
      <c r="P74" s="379">
        <f t="shared" si="9"/>
        <v>4540</v>
      </c>
      <c r="Q74" s="380">
        <f>IFERROR(SUM(P74/L74),0)</f>
        <v>1</v>
      </c>
      <c r="R74" s="380">
        <f>IFERROR(SUM(P74/M74),0)</f>
        <v>1</v>
      </c>
      <c r="S74" s="380">
        <f>IFERROR(SUM(P74/O74),0)</f>
        <v>0.9869565217391304</v>
      </c>
      <c r="T74" s="396"/>
    </row>
    <row r="75" spans="1:28" s="336" customFormat="1" x14ac:dyDescent="0.3">
      <c r="A75" s="386"/>
      <c r="B75" s="471">
        <v>329</v>
      </c>
      <c r="C75" s="471"/>
      <c r="D75" s="471"/>
      <c r="E75" s="471"/>
      <c r="F75" s="471"/>
      <c r="G75" s="471"/>
      <c r="H75" s="471"/>
      <c r="I75" s="471"/>
      <c r="J75" s="388" t="s">
        <v>506</v>
      </c>
      <c r="K75" s="336" t="s">
        <v>1000</v>
      </c>
      <c r="L75" s="389">
        <f>SUM('RASHODI ZA VIJEĆE'!E184)</f>
        <v>4540</v>
      </c>
      <c r="M75" s="389">
        <f>SUM('RASHODI ZA VIJEĆE'!F184)</f>
        <v>4540</v>
      </c>
      <c r="N75" s="389">
        <f>SUM('RASHODI ZA VIJEĆE'!G184)</f>
        <v>0</v>
      </c>
      <c r="O75" s="389">
        <f>SUM('RASHODI ZA VIJEĆE'!H184)</f>
        <v>4600</v>
      </c>
      <c r="P75" s="389">
        <f>SUM('RASHODI ZA VIJEĆE'!I184)</f>
        <v>4540</v>
      </c>
      <c r="Q75" s="390">
        <f>IFERROR(SUM(P75/L75),0)</f>
        <v>1</v>
      </c>
      <c r="R75" s="390">
        <f>IFERROR(SUM(P75/M75),0)</f>
        <v>1</v>
      </c>
      <c r="S75" s="390">
        <f>IFERROR(SUM(P75/O75),0)</f>
        <v>0.9869565217391304</v>
      </c>
      <c r="T75" s="391"/>
    </row>
    <row r="76" spans="1:28" s="336" customFormat="1" x14ac:dyDescent="0.3">
      <c r="A76" s="386"/>
      <c r="B76" s="387"/>
      <c r="C76" s="387"/>
      <c r="D76" s="387"/>
      <c r="E76" s="387"/>
      <c r="F76" s="387"/>
      <c r="G76" s="387"/>
      <c r="H76" s="387"/>
      <c r="I76" s="387"/>
      <c r="J76" s="388"/>
      <c r="L76" s="389"/>
      <c r="M76" s="389"/>
      <c r="N76" s="389"/>
      <c r="O76" s="389"/>
      <c r="P76" s="389"/>
      <c r="Q76" s="390"/>
      <c r="R76" s="390"/>
      <c r="S76" s="390"/>
      <c r="T76" s="391"/>
    </row>
    <row r="77" spans="1:28" s="374" customFormat="1" ht="21" thickBot="1" x14ac:dyDescent="0.35">
      <c r="A77" s="400"/>
      <c r="B77" s="376">
        <v>1</v>
      </c>
      <c r="C77" s="376">
        <v>2</v>
      </c>
      <c r="D77" s="376"/>
      <c r="E77" s="376"/>
      <c r="F77" s="376"/>
      <c r="G77" s="376"/>
      <c r="H77" s="376"/>
      <c r="I77" s="355" t="s">
        <v>1091</v>
      </c>
      <c r="J77" s="401"/>
      <c r="K77" s="402"/>
      <c r="L77" s="403">
        <f>SUM(L79)</f>
        <v>30219.82</v>
      </c>
      <c r="M77" s="403">
        <f>SUM(M79)</f>
        <v>47191.729999999996</v>
      </c>
      <c r="N77" s="403">
        <f>SUM(N79)</f>
        <v>257000</v>
      </c>
      <c r="O77" s="403">
        <f>SUM(O79)</f>
        <v>62100</v>
      </c>
      <c r="P77" s="403">
        <f>SUM(P79)</f>
        <v>47191.729999999996</v>
      </c>
      <c r="Q77" s="404">
        <f>IFERROR(SUM(P77/L77),0)</f>
        <v>1.5616151916192749</v>
      </c>
      <c r="R77" s="404">
        <f>IFERROR(SUM(P77/M77),0)</f>
        <v>1</v>
      </c>
      <c r="S77" s="404">
        <f>IFERROR(SUM(P77/O77),0)</f>
        <v>0.75993123993558764</v>
      </c>
      <c r="T77" s="375"/>
      <c r="U77" s="373"/>
      <c r="V77" s="373"/>
      <c r="W77" s="373"/>
      <c r="X77" s="373"/>
      <c r="Y77" s="373"/>
      <c r="Z77" s="373"/>
      <c r="AA77" s="373"/>
      <c r="AB77" s="373"/>
    </row>
    <row r="78" spans="1:28" s="273" customFormat="1" ht="21" thickTop="1" x14ac:dyDescent="0.3">
      <c r="A78" s="377"/>
      <c r="B78" s="472" t="s">
        <v>819</v>
      </c>
      <c r="C78" s="472"/>
      <c r="D78" s="472"/>
      <c r="E78" s="472"/>
      <c r="F78" s="472"/>
      <c r="G78" s="472"/>
      <c r="H78" s="472"/>
      <c r="I78" s="472"/>
      <c r="J78" s="472"/>
      <c r="K78" s="472"/>
      <c r="L78" s="379"/>
      <c r="M78" s="379"/>
      <c r="N78" s="379"/>
      <c r="O78" s="379"/>
      <c r="P78" s="379"/>
      <c r="Q78" s="380"/>
      <c r="R78" s="380"/>
      <c r="S78" s="380"/>
      <c r="T78" s="381"/>
      <c r="U78" s="383"/>
      <c r="V78" s="383"/>
      <c r="W78" s="383"/>
      <c r="X78" s="383"/>
      <c r="Y78" s="383"/>
      <c r="Z78" s="383"/>
      <c r="AA78" s="383"/>
      <c r="AB78" s="383"/>
    </row>
    <row r="79" spans="1:28" s="273" customFormat="1" x14ac:dyDescent="0.3">
      <c r="A79" s="377"/>
      <c r="B79" s="472">
        <v>3</v>
      </c>
      <c r="C79" s="472"/>
      <c r="D79" s="472"/>
      <c r="E79" s="472"/>
      <c r="F79" s="472"/>
      <c r="G79" s="472"/>
      <c r="H79" s="472"/>
      <c r="I79" s="472"/>
      <c r="J79" s="384"/>
      <c r="K79" s="273" t="s">
        <v>20</v>
      </c>
      <c r="L79" s="379">
        <f>SUM(L80)</f>
        <v>30219.82</v>
      </c>
      <c r="M79" s="379">
        <f>SUM(M80)</f>
        <v>47191.729999999996</v>
      </c>
      <c r="N79" s="379">
        <f>SUM(N80)</f>
        <v>257000</v>
      </c>
      <c r="O79" s="379">
        <f>SUM(O80)</f>
        <v>62100</v>
      </c>
      <c r="P79" s="379">
        <f>SUM(P80)</f>
        <v>47191.729999999996</v>
      </c>
      <c r="Q79" s="380">
        <f t="shared" ref="Q79:Q85" si="10">IFERROR(SUM(P79/L79),0)</f>
        <v>1.5616151916192749</v>
      </c>
      <c r="R79" s="380">
        <f t="shared" ref="R79:R85" si="11">IFERROR(SUM(P79/M79),0)</f>
        <v>1</v>
      </c>
      <c r="S79" s="380">
        <f t="shared" ref="S79:S85" si="12">IFERROR(SUM(P79/O79),0)</f>
        <v>0.75993123993558764</v>
      </c>
      <c r="T79" s="381"/>
      <c r="U79" s="383"/>
      <c r="V79" s="383"/>
      <c r="W79" s="383"/>
      <c r="X79" s="383"/>
      <c r="Y79" s="383"/>
      <c r="Z79" s="383"/>
      <c r="AA79" s="383"/>
      <c r="AB79" s="383"/>
    </row>
    <row r="80" spans="1:28" s="273" customFormat="1" x14ac:dyDescent="0.3">
      <c r="A80" s="377"/>
      <c r="B80" s="472">
        <v>32</v>
      </c>
      <c r="C80" s="472"/>
      <c r="D80" s="472"/>
      <c r="E80" s="472"/>
      <c r="F80" s="472"/>
      <c r="G80" s="472"/>
      <c r="H80" s="472"/>
      <c r="I80" s="472"/>
      <c r="J80" s="384"/>
      <c r="K80" s="273" t="s">
        <v>3</v>
      </c>
      <c r="L80" s="379">
        <f>SUM(L81:L85)</f>
        <v>30219.82</v>
      </c>
      <c r="M80" s="379">
        <f>SUM(M81:M85)</f>
        <v>47191.729999999996</v>
      </c>
      <c r="N80" s="379">
        <f>SUM(N81:N85)</f>
        <v>257000</v>
      </c>
      <c r="O80" s="379">
        <f>SUM(O81:O85)</f>
        <v>62100</v>
      </c>
      <c r="P80" s="379">
        <f>SUM(P81:P85)</f>
        <v>47191.729999999996</v>
      </c>
      <c r="Q80" s="380">
        <f t="shared" si="10"/>
        <v>1.5616151916192749</v>
      </c>
      <c r="R80" s="380">
        <f t="shared" si="11"/>
        <v>1</v>
      </c>
      <c r="S80" s="380">
        <f t="shared" si="12"/>
        <v>0.75993123993558764</v>
      </c>
      <c r="T80" s="381"/>
      <c r="U80" s="383"/>
      <c r="V80" s="383"/>
      <c r="W80" s="383"/>
      <c r="X80" s="383"/>
      <c r="Y80" s="383"/>
      <c r="Z80" s="383"/>
      <c r="AA80" s="383"/>
      <c r="AB80" s="383"/>
    </row>
    <row r="81" spans="1:28" s="336" customFormat="1" x14ac:dyDescent="0.3">
      <c r="A81" s="386"/>
      <c r="B81" s="471">
        <v>323</v>
      </c>
      <c r="C81" s="471"/>
      <c r="D81" s="471"/>
      <c r="E81" s="471"/>
      <c r="F81" s="471"/>
      <c r="G81" s="471"/>
      <c r="H81" s="471"/>
      <c r="I81" s="471"/>
      <c r="J81" s="388" t="s">
        <v>508</v>
      </c>
      <c r="K81" s="336" t="s">
        <v>208</v>
      </c>
      <c r="L81" s="389">
        <f>SUM('RASHODI ZA VIJEĆE'!E102)</f>
        <v>0</v>
      </c>
      <c r="M81" s="389">
        <f>SUM('RASHODI ZA VIJEĆE'!F102)</f>
        <v>0</v>
      </c>
      <c r="N81" s="389">
        <f>SUM('RASHODI ZA VIJEĆE'!G102)</f>
        <v>100000</v>
      </c>
      <c r="O81" s="389">
        <f>SUM('RASHODI ZA VIJEĆE'!H102)</f>
        <v>0</v>
      </c>
      <c r="P81" s="389">
        <f>SUM('RASHODI ZA VIJEĆE'!I102)</f>
        <v>0</v>
      </c>
      <c r="Q81" s="390">
        <f t="shared" si="10"/>
        <v>0</v>
      </c>
      <c r="R81" s="390">
        <f t="shared" si="11"/>
        <v>0</v>
      </c>
      <c r="S81" s="390">
        <f t="shared" si="12"/>
        <v>0</v>
      </c>
      <c r="T81" s="391"/>
      <c r="U81" s="392"/>
      <c r="V81" s="392"/>
      <c r="W81" s="392"/>
      <c r="X81" s="392"/>
      <c r="Y81" s="392"/>
      <c r="Z81" s="392"/>
      <c r="AA81" s="392"/>
      <c r="AB81" s="392"/>
    </row>
    <row r="82" spans="1:28" s="336" customFormat="1" x14ac:dyDescent="0.3">
      <c r="A82" s="386">
        <v>40</v>
      </c>
      <c r="B82" s="471">
        <v>323</v>
      </c>
      <c r="C82" s="471"/>
      <c r="D82" s="471"/>
      <c r="E82" s="471"/>
      <c r="F82" s="471"/>
      <c r="G82" s="471"/>
      <c r="H82" s="471"/>
      <c r="I82" s="471"/>
      <c r="J82" s="388" t="s">
        <v>508</v>
      </c>
      <c r="K82" s="397" t="s">
        <v>96</v>
      </c>
      <c r="L82" s="389">
        <f>SUM('RASHODI ZA VIJEĆE'!E99)</f>
        <v>22825.16</v>
      </c>
      <c r="M82" s="389">
        <f>SUM('RASHODI ZA VIJEĆE'!F99)</f>
        <v>34563.1</v>
      </c>
      <c r="N82" s="389">
        <f>SUM('RASHODI ZA VIJEĆE'!G99)</f>
        <v>150000</v>
      </c>
      <c r="O82" s="389">
        <f>SUM('RASHODI ZA VIJEĆE'!H99)</f>
        <v>50000</v>
      </c>
      <c r="P82" s="389">
        <f>SUM('RASHODI ZA VIJEĆE'!I99)</f>
        <v>34563.1</v>
      </c>
      <c r="Q82" s="390">
        <f t="shared" si="10"/>
        <v>1.5142544455329119</v>
      </c>
      <c r="R82" s="390">
        <f t="shared" si="11"/>
        <v>1</v>
      </c>
      <c r="S82" s="390">
        <f t="shared" si="12"/>
        <v>0.69126199999999993</v>
      </c>
      <c r="T82" s="391">
        <v>100</v>
      </c>
      <c r="U82" s="392"/>
      <c r="V82" s="392"/>
      <c r="W82" s="392"/>
      <c r="X82" s="392"/>
      <c r="Y82" s="392"/>
      <c r="Z82" s="392"/>
      <c r="AA82" s="392"/>
      <c r="AB82" s="392"/>
    </row>
    <row r="83" spans="1:28" s="336" customFormat="1" x14ac:dyDescent="0.3">
      <c r="A83" s="386">
        <v>41</v>
      </c>
      <c r="B83" s="471">
        <v>323</v>
      </c>
      <c r="C83" s="471"/>
      <c r="D83" s="471"/>
      <c r="E83" s="471"/>
      <c r="F83" s="471"/>
      <c r="G83" s="471"/>
      <c r="H83" s="471"/>
      <c r="I83" s="471"/>
      <c r="J83" s="388" t="s">
        <v>508</v>
      </c>
      <c r="K83" s="397" t="s">
        <v>974</v>
      </c>
      <c r="L83" s="389">
        <f>SUM('RASHODI ZA VIJEĆE'!E100)</f>
        <v>0</v>
      </c>
      <c r="M83" s="389">
        <f>SUM('RASHODI ZA VIJEĆE'!F100)</f>
        <v>0</v>
      </c>
      <c r="N83" s="389">
        <f>SUM('RASHODI ZA VIJEĆE'!G100)</f>
        <v>0</v>
      </c>
      <c r="O83" s="389">
        <f>SUM('RASHODI ZA VIJEĆE'!H100)</f>
        <v>0</v>
      </c>
      <c r="P83" s="389">
        <f>SUM('RASHODI ZA VIJEĆE'!I100)</f>
        <v>0</v>
      </c>
      <c r="Q83" s="390">
        <f t="shared" si="10"/>
        <v>0</v>
      </c>
      <c r="R83" s="390">
        <f t="shared" si="11"/>
        <v>0</v>
      </c>
      <c r="S83" s="390">
        <f t="shared" si="12"/>
        <v>0</v>
      </c>
      <c r="T83" s="391"/>
      <c r="U83" s="392"/>
      <c r="V83" s="392"/>
      <c r="W83" s="392"/>
      <c r="X83" s="392"/>
      <c r="Y83" s="392"/>
      <c r="Z83" s="392"/>
      <c r="AA83" s="392"/>
      <c r="AB83" s="392"/>
    </row>
    <row r="84" spans="1:28" s="336" customFormat="1" x14ac:dyDescent="0.3">
      <c r="A84" s="386">
        <v>42</v>
      </c>
      <c r="B84" s="471">
        <v>323</v>
      </c>
      <c r="C84" s="471"/>
      <c r="D84" s="471"/>
      <c r="E84" s="471"/>
      <c r="F84" s="471"/>
      <c r="G84" s="471"/>
      <c r="H84" s="471"/>
      <c r="I84" s="471"/>
      <c r="J84" s="388" t="s">
        <v>508</v>
      </c>
      <c r="K84" s="397" t="s">
        <v>541</v>
      </c>
      <c r="L84" s="389">
        <f>SUM('RASHODI ZA VIJEĆE'!E101)</f>
        <v>0</v>
      </c>
      <c r="M84" s="389">
        <f>SUM('RASHODI ZA VIJEĆE'!F101)</f>
        <v>0</v>
      </c>
      <c r="N84" s="389">
        <f>SUM('RASHODI ZA VIJEĆE'!G101)</f>
        <v>0</v>
      </c>
      <c r="O84" s="389">
        <f>SUM('RASHODI ZA VIJEĆE'!H101)</f>
        <v>0</v>
      </c>
      <c r="P84" s="389">
        <f>SUM('RASHODI ZA VIJEĆE'!I101)</f>
        <v>0</v>
      </c>
      <c r="Q84" s="390">
        <f t="shared" si="10"/>
        <v>0</v>
      </c>
      <c r="R84" s="390">
        <f t="shared" si="11"/>
        <v>0</v>
      </c>
      <c r="S84" s="390">
        <f t="shared" si="12"/>
        <v>0</v>
      </c>
      <c r="T84" s="391"/>
      <c r="U84" s="392"/>
      <c r="V84" s="392"/>
      <c r="W84" s="392"/>
      <c r="X84" s="392"/>
      <c r="Y84" s="392"/>
      <c r="Z84" s="392"/>
      <c r="AA84" s="392"/>
      <c r="AB84" s="392"/>
    </row>
    <row r="85" spans="1:28" s="336" customFormat="1" x14ac:dyDescent="0.3">
      <c r="A85" s="386">
        <v>43</v>
      </c>
      <c r="B85" s="471">
        <v>323</v>
      </c>
      <c r="C85" s="471"/>
      <c r="D85" s="471"/>
      <c r="E85" s="471"/>
      <c r="F85" s="471"/>
      <c r="G85" s="471"/>
      <c r="H85" s="471"/>
      <c r="I85" s="471"/>
      <c r="J85" s="388" t="s">
        <v>508</v>
      </c>
      <c r="K85" s="336" t="s">
        <v>100</v>
      </c>
      <c r="L85" s="389">
        <f>SUM('RASHODI ZA VIJEĆE'!E109+'RASHODI ZA VIJEĆE'!E110)</f>
        <v>7394.66</v>
      </c>
      <c r="M85" s="389">
        <f>SUM('RASHODI ZA VIJEĆE'!F109+'RASHODI ZA VIJEĆE'!F110)</f>
        <v>12628.630000000001</v>
      </c>
      <c r="N85" s="389">
        <f>SUM('RASHODI ZA VIJEĆE'!G109+'RASHODI ZA VIJEĆE'!G110)</f>
        <v>7000</v>
      </c>
      <c r="O85" s="389">
        <f>SUM('RASHODI ZA VIJEĆE'!H109+'RASHODI ZA VIJEĆE'!H110)</f>
        <v>12100</v>
      </c>
      <c r="P85" s="389">
        <f>SUM('RASHODI ZA VIJEĆE'!I109+'RASHODI ZA VIJEĆE'!I110)</f>
        <v>12628.630000000001</v>
      </c>
      <c r="Q85" s="390">
        <f t="shared" si="10"/>
        <v>1.7078040099206726</v>
      </c>
      <c r="R85" s="390">
        <f t="shared" si="11"/>
        <v>1</v>
      </c>
      <c r="S85" s="390">
        <f t="shared" si="12"/>
        <v>1.0436884297520661</v>
      </c>
      <c r="T85" s="391" t="s">
        <v>488</v>
      </c>
      <c r="U85" s="392"/>
      <c r="V85" s="392"/>
      <c r="W85" s="392"/>
      <c r="X85" s="392"/>
      <c r="Y85" s="392"/>
      <c r="Z85" s="392"/>
      <c r="AA85" s="392"/>
      <c r="AB85" s="392"/>
    </row>
    <row r="86" spans="1:28" s="336" customFormat="1" x14ac:dyDescent="0.3">
      <c r="A86" s="386"/>
      <c r="B86" s="387"/>
      <c r="C86" s="387"/>
      <c r="D86" s="387"/>
      <c r="E86" s="387"/>
      <c r="F86" s="387"/>
      <c r="G86" s="387"/>
      <c r="H86" s="387"/>
      <c r="I86" s="387"/>
      <c r="J86" s="388"/>
      <c r="L86" s="389"/>
      <c r="M86" s="389"/>
      <c r="N86" s="389"/>
      <c r="O86" s="389"/>
      <c r="P86" s="389"/>
      <c r="Q86" s="390"/>
      <c r="R86" s="390"/>
      <c r="S86" s="390"/>
      <c r="T86" s="391"/>
      <c r="U86" s="392"/>
      <c r="V86" s="392"/>
      <c r="W86" s="392"/>
      <c r="X86" s="392"/>
      <c r="Y86" s="392"/>
      <c r="Z86" s="392"/>
      <c r="AA86" s="392"/>
      <c r="AB86" s="392"/>
    </row>
    <row r="87" spans="1:28" s="374" customFormat="1" ht="21" thickBot="1" x14ac:dyDescent="0.35">
      <c r="A87" s="400"/>
      <c r="B87" s="376">
        <v>1</v>
      </c>
      <c r="C87" s="376"/>
      <c r="D87" s="376"/>
      <c r="E87" s="376"/>
      <c r="F87" s="376"/>
      <c r="G87" s="376"/>
      <c r="H87" s="376"/>
      <c r="I87" s="355" t="s">
        <v>1092</v>
      </c>
      <c r="J87" s="401"/>
      <c r="K87" s="355"/>
      <c r="L87" s="403">
        <f>SUM(L89+L92)</f>
        <v>55556.99</v>
      </c>
      <c r="M87" s="403">
        <f>SUM(M89+M92)</f>
        <v>87742.27</v>
      </c>
      <c r="N87" s="403">
        <f>SUM(N89+N92)</f>
        <v>34000</v>
      </c>
      <c r="O87" s="403">
        <f>SUM(O89+O92)</f>
        <v>90000</v>
      </c>
      <c r="P87" s="403">
        <f>SUM(P89+P92)</f>
        <v>87742.27</v>
      </c>
      <c r="Q87" s="404">
        <f>IFERROR(SUM(P87/L87),0)</f>
        <v>1.579320081955484</v>
      </c>
      <c r="R87" s="404">
        <f>IFERROR(SUM(P87/M87),0)</f>
        <v>1</v>
      </c>
      <c r="S87" s="404">
        <f>IFERROR(SUM(P87/O87),0)</f>
        <v>0.97491411111111115</v>
      </c>
      <c r="T87" s="375"/>
      <c r="U87" s="373"/>
      <c r="V87" s="373"/>
      <c r="W87" s="373"/>
      <c r="X87" s="373"/>
      <c r="Y87" s="373"/>
      <c r="Z87" s="373"/>
      <c r="AA87" s="373"/>
      <c r="AB87" s="373"/>
    </row>
    <row r="88" spans="1:28" s="273" customFormat="1" ht="21" thickTop="1" x14ac:dyDescent="0.3">
      <c r="A88" s="377"/>
      <c r="B88" s="472" t="s">
        <v>38</v>
      </c>
      <c r="C88" s="472"/>
      <c r="D88" s="472"/>
      <c r="E88" s="472"/>
      <c r="F88" s="472"/>
      <c r="G88" s="472"/>
      <c r="H88" s="472"/>
      <c r="I88" s="472"/>
      <c r="J88" s="472"/>
      <c r="K88" s="472"/>
      <c r="L88" s="379"/>
      <c r="M88" s="379"/>
      <c r="N88" s="379"/>
      <c r="O88" s="379"/>
      <c r="P88" s="379"/>
      <c r="Q88" s="380"/>
      <c r="R88" s="380"/>
      <c r="S88" s="380"/>
      <c r="T88" s="381"/>
      <c r="U88" s="383"/>
      <c r="V88" s="383"/>
      <c r="W88" s="383"/>
      <c r="X88" s="383"/>
      <c r="Y88" s="383"/>
      <c r="Z88" s="383"/>
      <c r="AA88" s="383"/>
      <c r="AB88" s="383"/>
    </row>
    <row r="89" spans="1:28" s="273" customFormat="1" x14ac:dyDescent="0.3">
      <c r="A89" s="377"/>
      <c r="B89" s="472">
        <v>3</v>
      </c>
      <c r="C89" s="472"/>
      <c r="D89" s="472"/>
      <c r="E89" s="472"/>
      <c r="F89" s="472"/>
      <c r="G89" s="472"/>
      <c r="H89" s="472"/>
      <c r="I89" s="472"/>
      <c r="J89" s="384"/>
      <c r="K89" s="273" t="s">
        <v>20</v>
      </c>
      <c r="L89" s="379">
        <f>SUM(L90)</f>
        <v>0</v>
      </c>
      <c r="M89" s="379">
        <f>SUM(M90)</f>
        <v>0</v>
      </c>
      <c r="N89" s="379">
        <f>SUM(N90)</f>
        <v>14000</v>
      </c>
      <c r="O89" s="379">
        <f>SUM(O90)</f>
        <v>0</v>
      </c>
      <c r="P89" s="379">
        <f>SUM(P90)</f>
        <v>0</v>
      </c>
      <c r="Q89" s="380">
        <f t="shared" ref="Q89:Q94" si="13">IFERROR(SUM(P89/L89),0)</f>
        <v>0</v>
      </c>
      <c r="R89" s="380">
        <f t="shared" ref="R89:R94" si="14">IFERROR(SUM(P89/M89),0)</f>
        <v>0</v>
      </c>
      <c r="S89" s="380">
        <f t="shared" ref="S89:S94" si="15">IFERROR(SUM(P89/O89),0)</f>
        <v>0</v>
      </c>
      <c r="T89" s="381"/>
      <c r="U89" s="383"/>
      <c r="V89" s="383"/>
      <c r="W89" s="383"/>
      <c r="X89" s="383"/>
      <c r="Y89" s="383"/>
      <c r="Z89" s="383"/>
      <c r="AA89" s="383"/>
      <c r="AB89" s="383"/>
    </row>
    <row r="90" spans="1:28" s="273" customFormat="1" x14ac:dyDescent="0.3">
      <c r="A90" s="377"/>
      <c r="B90" s="472">
        <v>35</v>
      </c>
      <c r="C90" s="472"/>
      <c r="D90" s="472"/>
      <c r="E90" s="472"/>
      <c r="F90" s="472"/>
      <c r="G90" s="472"/>
      <c r="H90" s="472"/>
      <c r="I90" s="472"/>
      <c r="J90" s="384"/>
      <c r="K90" s="273" t="s">
        <v>79</v>
      </c>
      <c r="L90" s="379">
        <f>SUM(L91:L91)</f>
        <v>0</v>
      </c>
      <c r="M90" s="379">
        <f>SUM(M91:M91)</f>
        <v>0</v>
      </c>
      <c r="N90" s="379">
        <f>SUM(N91:N91)</f>
        <v>14000</v>
      </c>
      <c r="O90" s="379">
        <f>SUM(O91:O91)</f>
        <v>0</v>
      </c>
      <c r="P90" s="379">
        <f>SUM(P91:P91)</f>
        <v>0</v>
      </c>
      <c r="Q90" s="380">
        <f t="shared" si="13"/>
        <v>0</v>
      </c>
      <c r="R90" s="380">
        <f t="shared" si="14"/>
        <v>0</v>
      </c>
      <c r="S90" s="380">
        <f t="shared" si="15"/>
        <v>0</v>
      </c>
      <c r="T90" s="381"/>
      <c r="U90" s="383"/>
      <c r="V90" s="383"/>
      <c r="W90" s="383"/>
      <c r="X90" s="383"/>
      <c r="Y90" s="383"/>
      <c r="Z90" s="383"/>
      <c r="AA90" s="383"/>
      <c r="AB90" s="383"/>
    </row>
    <row r="91" spans="1:28" s="336" customFormat="1" x14ac:dyDescent="0.3">
      <c r="A91" s="386">
        <v>44</v>
      </c>
      <c r="B91" s="471">
        <v>352</v>
      </c>
      <c r="C91" s="471"/>
      <c r="D91" s="471"/>
      <c r="E91" s="471"/>
      <c r="F91" s="471"/>
      <c r="G91" s="471"/>
      <c r="H91" s="471"/>
      <c r="I91" s="471"/>
      <c r="J91" s="388" t="s">
        <v>514</v>
      </c>
      <c r="K91" s="336" t="s">
        <v>80</v>
      </c>
      <c r="L91" s="389">
        <f>SUM('RASHODI ZA VIJEĆE'!E227+'RASHODI ZA VIJEĆE'!E228)</f>
        <v>0</v>
      </c>
      <c r="M91" s="389">
        <f>SUM('RASHODI ZA VIJEĆE'!F227+'RASHODI ZA VIJEĆE'!F228)</f>
        <v>0</v>
      </c>
      <c r="N91" s="389">
        <f>SUM('RASHODI ZA VIJEĆE'!G227+'RASHODI ZA VIJEĆE'!G228)</f>
        <v>14000</v>
      </c>
      <c r="O91" s="389">
        <f>SUM('RASHODI ZA VIJEĆE'!H227+'RASHODI ZA VIJEĆE'!H228)</f>
        <v>0</v>
      </c>
      <c r="P91" s="389">
        <f>SUM('RASHODI ZA VIJEĆE'!I227+'RASHODI ZA VIJEĆE'!I228)</f>
        <v>0</v>
      </c>
      <c r="Q91" s="390">
        <f t="shared" si="13"/>
        <v>0</v>
      </c>
      <c r="R91" s="390">
        <f t="shared" si="14"/>
        <v>0</v>
      </c>
      <c r="S91" s="390">
        <f t="shared" si="15"/>
        <v>0</v>
      </c>
      <c r="T91" s="391" t="s">
        <v>484</v>
      </c>
      <c r="U91" s="392"/>
      <c r="V91" s="392"/>
      <c r="W91" s="392"/>
      <c r="X91" s="392"/>
      <c r="Y91" s="392"/>
      <c r="Z91" s="392"/>
      <c r="AA91" s="392"/>
      <c r="AB91" s="392"/>
    </row>
    <row r="92" spans="1:28" s="273" customFormat="1" ht="20.25" customHeight="1" x14ac:dyDescent="0.3">
      <c r="A92" s="377"/>
      <c r="B92" s="472">
        <v>4</v>
      </c>
      <c r="C92" s="472"/>
      <c r="D92" s="472"/>
      <c r="E92" s="472"/>
      <c r="F92" s="472"/>
      <c r="G92" s="472"/>
      <c r="H92" s="472"/>
      <c r="I92" s="472"/>
      <c r="J92" s="384"/>
      <c r="K92" s="273" t="s">
        <v>11</v>
      </c>
      <c r="L92" s="379">
        <f>SUM(L93)</f>
        <v>55556.99</v>
      </c>
      <c r="M92" s="379">
        <f t="shared" ref="M92:P93" si="16">SUM(M93)</f>
        <v>87742.27</v>
      </c>
      <c r="N92" s="379">
        <f t="shared" si="16"/>
        <v>20000</v>
      </c>
      <c r="O92" s="379">
        <f t="shared" si="16"/>
        <v>90000</v>
      </c>
      <c r="P92" s="379">
        <f t="shared" si="16"/>
        <v>87742.27</v>
      </c>
      <c r="Q92" s="380">
        <f t="shared" si="13"/>
        <v>1.579320081955484</v>
      </c>
      <c r="R92" s="380">
        <f t="shared" si="14"/>
        <v>1</v>
      </c>
      <c r="S92" s="380">
        <f t="shared" si="15"/>
        <v>0.97491411111111115</v>
      </c>
      <c r="T92" s="381"/>
      <c r="U92" s="383"/>
      <c r="V92" s="383"/>
      <c r="W92" s="383"/>
      <c r="X92" s="383"/>
      <c r="Y92" s="383"/>
      <c r="Z92" s="383"/>
      <c r="AA92" s="383"/>
      <c r="AB92" s="383"/>
    </row>
    <row r="93" spans="1:28" s="273" customFormat="1" x14ac:dyDescent="0.3">
      <c r="A93" s="377"/>
      <c r="B93" s="472">
        <v>41</v>
      </c>
      <c r="C93" s="472"/>
      <c r="D93" s="472"/>
      <c r="E93" s="472"/>
      <c r="F93" s="472"/>
      <c r="G93" s="472"/>
      <c r="H93" s="472"/>
      <c r="I93" s="472"/>
      <c r="J93" s="384"/>
      <c r="K93" s="273" t="s">
        <v>44</v>
      </c>
      <c r="L93" s="379">
        <f>SUM(L94)</f>
        <v>55556.99</v>
      </c>
      <c r="M93" s="379">
        <f t="shared" si="16"/>
        <v>87742.27</v>
      </c>
      <c r="N93" s="379">
        <f t="shared" si="16"/>
        <v>20000</v>
      </c>
      <c r="O93" s="379">
        <f t="shared" si="16"/>
        <v>90000</v>
      </c>
      <c r="P93" s="379">
        <f t="shared" si="16"/>
        <v>87742.27</v>
      </c>
      <c r="Q93" s="380">
        <f t="shared" si="13"/>
        <v>1.579320081955484</v>
      </c>
      <c r="R93" s="380">
        <f t="shared" si="14"/>
        <v>1</v>
      </c>
      <c r="S93" s="380">
        <f t="shared" si="15"/>
        <v>0.97491411111111115</v>
      </c>
      <c r="T93" s="381"/>
      <c r="U93" s="383"/>
      <c r="V93" s="383"/>
      <c r="W93" s="383"/>
      <c r="X93" s="383"/>
      <c r="Y93" s="383"/>
      <c r="Z93" s="383"/>
      <c r="AA93" s="383"/>
      <c r="AB93" s="383"/>
    </row>
    <row r="94" spans="1:28" s="336" customFormat="1" x14ac:dyDescent="0.3">
      <c r="A94" s="386">
        <v>45</v>
      </c>
      <c r="B94" s="471">
        <v>421</v>
      </c>
      <c r="C94" s="471"/>
      <c r="D94" s="471"/>
      <c r="E94" s="471"/>
      <c r="F94" s="471"/>
      <c r="G94" s="471"/>
      <c r="H94" s="471"/>
      <c r="I94" s="471"/>
      <c r="J94" s="388" t="s">
        <v>514</v>
      </c>
      <c r="K94" s="405" t="s">
        <v>952</v>
      </c>
      <c r="L94" s="389">
        <f>SUM('RASHODI ZA VIJEĆE'!E369)</f>
        <v>55556.99</v>
      </c>
      <c r="M94" s="389">
        <f>SUM('RASHODI ZA VIJEĆE'!F369)</f>
        <v>87742.27</v>
      </c>
      <c r="N94" s="389">
        <f>SUM('RASHODI ZA VIJEĆE'!G369)</f>
        <v>20000</v>
      </c>
      <c r="O94" s="389">
        <f>SUM('RASHODI ZA VIJEĆE'!H369)</f>
        <v>90000</v>
      </c>
      <c r="P94" s="389">
        <f>SUM('RASHODI ZA VIJEĆE'!I369)</f>
        <v>87742.27</v>
      </c>
      <c r="Q94" s="390">
        <f t="shared" si="13"/>
        <v>1.579320081955484</v>
      </c>
      <c r="R94" s="390">
        <f t="shared" si="14"/>
        <v>1</v>
      </c>
      <c r="S94" s="390">
        <f t="shared" si="15"/>
        <v>0.97491411111111115</v>
      </c>
      <c r="T94" s="391"/>
      <c r="U94" s="392"/>
      <c r="V94" s="392"/>
      <c r="W94" s="392"/>
      <c r="X94" s="392"/>
      <c r="Y94" s="392"/>
      <c r="Z94" s="392"/>
      <c r="AA94" s="392"/>
      <c r="AB94" s="392"/>
    </row>
    <row r="95" spans="1:28" s="336" customFormat="1" x14ac:dyDescent="0.3">
      <c r="A95" s="386"/>
      <c r="B95" s="387"/>
      <c r="C95" s="387"/>
      <c r="D95" s="387"/>
      <c r="E95" s="387"/>
      <c r="F95" s="387"/>
      <c r="G95" s="387"/>
      <c r="H95" s="387"/>
      <c r="I95" s="387"/>
      <c r="J95" s="388"/>
      <c r="L95" s="389"/>
      <c r="M95" s="389"/>
      <c r="N95" s="389"/>
      <c r="O95" s="389"/>
      <c r="P95" s="389"/>
      <c r="Q95" s="390"/>
      <c r="R95" s="390"/>
      <c r="S95" s="390"/>
      <c r="T95" s="391"/>
      <c r="U95" s="392"/>
      <c r="V95" s="392"/>
      <c r="W95" s="392"/>
      <c r="X95" s="392"/>
      <c r="Y95" s="392"/>
      <c r="Z95" s="392"/>
      <c r="AA95" s="392"/>
      <c r="AB95" s="392"/>
    </row>
    <row r="96" spans="1:28" s="374" customFormat="1" ht="21" thickBot="1" x14ac:dyDescent="0.35">
      <c r="A96" s="400"/>
      <c r="B96" s="376">
        <v>1</v>
      </c>
      <c r="C96" s="376">
        <v>2</v>
      </c>
      <c r="D96" s="376">
        <v>3</v>
      </c>
      <c r="E96" s="376">
        <v>4</v>
      </c>
      <c r="F96" s="376"/>
      <c r="G96" s="376"/>
      <c r="H96" s="376"/>
      <c r="I96" s="355" t="s">
        <v>1093</v>
      </c>
      <c r="J96" s="401"/>
      <c r="K96" s="355"/>
      <c r="L96" s="403">
        <f>SUM(L98)</f>
        <v>59223.849999999991</v>
      </c>
      <c r="M96" s="403">
        <f>SUM(M98)</f>
        <v>248410.23</v>
      </c>
      <c r="N96" s="403">
        <f>SUM(N98)</f>
        <v>205000</v>
      </c>
      <c r="O96" s="403">
        <f>SUM(O98)</f>
        <v>248000</v>
      </c>
      <c r="P96" s="403">
        <f>SUM(P98)</f>
        <v>248410.23</v>
      </c>
      <c r="Q96" s="404">
        <f>IFERROR(SUM(P96/L96),0)</f>
        <v>4.1944289336137395</v>
      </c>
      <c r="R96" s="404">
        <f>IFERROR(SUM(P96/M96),0)</f>
        <v>1</v>
      </c>
      <c r="S96" s="404">
        <f>IFERROR(SUM(P96/O96),0)</f>
        <v>1.0016541532258065</v>
      </c>
      <c r="T96" s="375"/>
      <c r="U96" s="373"/>
      <c r="V96" s="373"/>
      <c r="W96" s="373"/>
      <c r="X96" s="373"/>
      <c r="Y96" s="373"/>
      <c r="Z96" s="373"/>
      <c r="AA96" s="373"/>
      <c r="AB96" s="373"/>
    </row>
    <row r="97" spans="1:28" s="322" customFormat="1" ht="21" thickTop="1" x14ac:dyDescent="0.3">
      <c r="A97" s="394"/>
      <c r="B97" s="472" t="s">
        <v>816</v>
      </c>
      <c r="C97" s="472"/>
      <c r="D97" s="472"/>
      <c r="E97" s="472"/>
      <c r="F97" s="472"/>
      <c r="G97" s="472"/>
      <c r="H97" s="472"/>
      <c r="I97" s="472"/>
      <c r="J97" s="472"/>
      <c r="K97" s="472"/>
      <c r="L97" s="379"/>
      <c r="M97" s="379"/>
      <c r="N97" s="379"/>
      <c r="O97" s="379"/>
      <c r="P97" s="379"/>
      <c r="Q97" s="380"/>
      <c r="R97" s="380"/>
      <c r="S97" s="380"/>
      <c r="T97" s="381"/>
      <c r="U97" s="357"/>
      <c r="V97" s="357"/>
      <c r="W97" s="357"/>
      <c r="X97" s="357"/>
      <c r="Y97" s="357"/>
      <c r="Z97" s="357"/>
      <c r="AA97" s="357"/>
      <c r="AB97" s="357"/>
    </row>
    <row r="98" spans="1:28" s="322" customFormat="1" x14ac:dyDescent="0.3">
      <c r="A98" s="394"/>
      <c r="B98" s="472">
        <v>4</v>
      </c>
      <c r="C98" s="472"/>
      <c r="D98" s="472"/>
      <c r="E98" s="472"/>
      <c r="F98" s="472"/>
      <c r="G98" s="472"/>
      <c r="H98" s="472"/>
      <c r="I98" s="472"/>
      <c r="J98" s="395"/>
      <c r="K98" s="273" t="s">
        <v>11</v>
      </c>
      <c r="L98" s="379">
        <f>SUM(L99)</f>
        <v>59223.849999999991</v>
      </c>
      <c r="M98" s="379">
        <f>SUM(M99)</f>
        <v>248410.23</v>
      </c>
      <c r="N98" s="379">
        <f>SUM(N99)</f>
        <v>205000</v>
      </c>
      <c r="O98" s="379">
        <f>SUM(O99)</f>
        <v>248000</v>
      </c>
      <c r="P98" s="379">
        <f>SUM(P99)</f>
        <v>248410.23</v>
      </c>
      <c r="Q98" s="380">
        <f t="shared" ref="Q98:Q111" si="17">IFERROR(SUM(P98/L98),0)</f>
        <v>4.1944289336137395</v>
      </c>
      <c r="R98" s="380">
        <f t="shared" ref="R98:R111" si="18">IFERROR(SUM(P98/M98),0)</f>
        <v>1</v>
      </c>
      <c r="S98" s="380">
        <f t="shared" ref="S98:S111" si="19">IFERROR(SUM(P98/O98),0)</f>
        <v>1.0016541532258065</v>
      </c>
      <c r="T98" s="381"/>
      <c r="U98" s="357"/>
      <c r="V98" s="357"/>
      <c r="W98" s="357"/>
      <c r="X98" s="357"/>
      <c r="Y98" s="357"/>
      <c r="Z98" s="357"/>
      <c r="AA98" s="357"/>
      <c r="AB98" s="357"/>
    </row>
    <row r="99" spans="1:28" s="322" customFormat="1" x14ac:dyDescent="0.3">
      <c r="A99" s="394"/>
      <c r="B99" s="472">
        <v>41</v>
      </c>
      <c r="C99" s="472"/>
      <c r="D99" s="472"/>
      <c r="E99" s="472"/>
      <c r="F99" s="472"/>
      <c r="G99" s="472"/>
      <c r="H99" s="472"/>
      <c r="I99" s="472"/>
      <c r="J99" s="395"/>
      <c r="K99" s="273" t="s">
        <v>44</v>
      </c>
      <c r="L99" s="379">
        <f>SUM(L100:L111)</f>
        <v>59223.849999999991</v>
      </c>
      <c r="M99" s="379">
        <f>SUM(M100:M111)</f>
        <v>248410.23</v>
      </c>
      <c r="N99" s="379">
        <f>SUM(N100:N111)</f>
        <v>205000</v>
      </c>
      <c r="O99" s="379">
        <f>SUM(O100:O111)</f>
        <v>248000</v>
      </c>
      <c r="P99" s="379">
        <f>SUM(P100:P111)</f>
        <v>248410.23</v>
      </c>
      <c r="Q99" s="380">
        <f t="shared" si="17"/>
        <v>4.1944289336137395</v>
      </c>
      <c r="R99" s="380">
        <f t="shared" si="18"/>
        <v>1</v>
      </c>
      <c r="S99" s="380">
        <f t="shared" si="19"/>
        <v>1.0016541532258065</v>
      </c>
      <c r="T99" s="381"/>
      <c r="U99" s="357"/>
      <c r="V99" s="357"/>
      <c r="W99" s="357"/>
      <c r="X99" s="357"/>
      <c r="Y99" s="357"/>
      <c r="Z99" s="357"/>
      <c r="AA99" s="357"/>
      <c r="AB99" s="357"/>
    </row>
    <row r="100" spans="1:28" s="336" customFormat="1" x14ac:dyDescent="0.3">
      <c r="A100" s="386">
        <v>46</v>
      </c>
      <c r="B100" s="471">
        <v>421</v>
      </c>
      <c r="C100" s="471"/>
      <c r="D100" s="471"/>
      <c r="E100" s="471"/>
      <c r="F100" s="471"/>
      <c r="G100" s="471"/>
      <c r="H100" s="471"/>
      <c r="I100" s="471"/>
      <c r="J100" s="388" t="s">
        <v>894</v>
      </c>
      <c r="K100" s="405" t="s">
        <v>895</v>
      </c>
      <c r="L100" s="389">
        <f>SUM('RASHODI ZA VIJEĆE'!E358)</f>
        <v>0</v>
      </c>
      <c r="M100" s="389">
        <f>SUM('RASHODI ZA VIJEĆE'!F358)</f>
        <v>0</v>
      </c>
      <c r="N100" s="389">
        <f>SUM('RASHODI ZA VIJEĆE'!G358)</f>
        <v>50000</v>
      </c>
      <c r="O100" s="389">
        <f>SUM('RASHODI ZA VIJEĆE'!H358)</f>
        <v>0</v>
      </c>
      <c r="P100" s="389">
        <f>SUM('RASHODI ZA VIJEĆE'!I358)</f>
        <v>0</v>
      </c>
      <c r="Q100" s="390">
        <f t="shared" si="17"/>
        <v>0</v>
      </c>
      <c r="R100" s="390">
        <f t="shared" si="18"/>
        <v>0</v>
      </c>
      <c r="S100" s="390">
        <f t="shared" si="19"/>
        <v>0</v>
      </c>
      <c r="T100" s="406"/>
      <c r="U100" s="392"/>
      <c r="V100" s="392"/>
      <c r="W100" s="392"/>
      <c r="X100" s="392"/>
      <c r="Y100" s="392"/>
      <c r="Z100" s="392"/>
      <c r="AA100" s="392"/>
      <c r="AB100" s="392"/>
    </row>
    <row r="101" spans="1:28" s="336" customFormat="1" x14ac:dyDescent="0.3">
      <c r="A101" s="386">
        <v>47</v>
      </c>
      <c r="B101" s="471">
        <v>421</v>
      </c>
      <c r="C101" s="471"/>
      <c r="D101" s="471"/>
      <c r="E101" s="471"/>
      <c r="F101" s="471"/>
      <c r="G101" s="471"/>
      <c r="H101" s="471"/>
      <c r="I101" s="471"/>
      <c r="J101" s="388" t="s">
        <v>508</v>
      </c>
      <c r="K101" s="405" t="s">
        <v>976</v>
      </c>
      <c r="L101" s="389">
        <f>SUM('RASHODI ZA VIJEĆE'!E354)</f>
        <v>0</v>
      </c>
      <c r="M101" s="389">
        <f>SUM('RASHODI ZA VIJEĆE'!F354)</f>
        <v>0</v>
      </c>
      <c r="N101" s="389">
        <f>SUM('RASHODI ZA VIJEĆE'!G354)</f>
        <v>0</v>
      </c>
      <c r="O101" s="389">
        <f>SUM('RASHODI ZA VIJEĆE'!H354)</f>
        <v>0</v>
      </c>
      <c r="P101" s="389">
        <f>SUM('RASHODI ZA VIJEĆE'!I354)</f>
        <v>0</v>
      </c>
      <c r="Q101" s="390">
        <f t="shared" si="17"/>
        <v>0</v>
      </c>
      <c r="R101" s="390">
        <f t="shared" si="18"/>
        <v>0</v>
      </c>
      <c r="S101" s="390">
        <f t="shared" si="19"/>
        <v>0</v>
      </c>
      <c r="T101" s="406"/>
      <c r="U101" s="392"/>
      <c r="V101" s="392"/>
      <c r="W101" s="392"/>
      <c r="X101" s="392"/>
      <c r="Y101" s="392"/>
      <c r="Z101" s="392"/>
      <c r="AA101" s="392"/>
      <c r="AB101" s="392"/>
    </row>
    <row r="102" spans="1:28" s="336" customFormat="1" x14ac:dyDescent="0.3">
      <c r="A102" s="386">
        <v>48</v>
      </c>
      <c r="B102" s="471">
        <v>421</v>
      </c>
      <c r="C102" s="471"/>
      <c r="D102" s="471"/>
      <c r="E102" s="471"/>
      <c r="F102" s="471"/>
      <c r="G102" s="471"/>
      <c r="H102" s="471"/>
      <c r="I102" s="471"/>
      <c r="J102" s="388" t="s">
        <v>508</v>
      </c>
      <c r="K102" s="405" t="s">
        <v>896</v>
      </c>
      <c r="L102" s="389">
        <f>SUM('RASHODI ZA VIJEĆE'!E370)</f>
        <v>0</v>
      </c>
      <c r="M102" s="389">
        <f>SUM('RASHODI ZA VIJEĆE'!F370)</f>
        <v>0</v>
      </c>
      <c r="N102" s="389">
        <f>SUM('RASHODI ZA VIJEĆE'!G370)</f>
        <v>10000</v>
      </c>
      <c r="O102" s="389">
        <f>SUM('RASHODI ZA VIJEĆE'!H370)</f>
        <v>0</v>
      </c>
      <c r="P102" s="389">
        <f>SUM('RASHODI ZA VIJEĆE'!I370)</f>
        <v>0</v>
      </c>
      <c r="Q102" s="390">
        <f t="shared" si="17"/>
        <v>0</v>
      </c>
      <c r="R102" s="390">
        <f t="shared" si="18"/>
        <v>0</v>
      </c>
      <c r="S102" s="390">
        <f t="shared" si="19"/>
        <v>0</v>
      </c>
      <c r="T102" s="406"/>
      <c r="U102" s="392"/>
      <c r="V102" s="392"/>
      <c r="W102" s="392"/>
      <c r="X102" s="392"/>
      <c r="Y102" s="392"/>
      <c r="Z102" s="392"/>
      <c r="AA102" s="392"/>
      <c r="AB102" s="392"/>
    </row>
    <row r="103" spans="1:28" s="336" customFormat="1" x14ac:dyDescent="0.3">
      <c r="A103" s="386">
        <v>49</v>
      </c>
      <c r="B103" s="471">
        <v>421</v>
      </c>
      <c r="C103" s="471"/>
      <c r="D103" s="471"/>
      <c r="E103" s="471"/>
      <c r="F103" s="471"/>
      <c r="G103" s="471"/>
      <c r="H103" s="471"/>
      <c r="I103" s="471"/>
      <c r="J103" s="388" t="s">
        <v>508</v>
      </c>
      <c r="K103" s="405" t="s">
        <v>950</v>
      </c>
      <c r="L103" s="389">
        <f>SUM('RASHODI ZA VIJEĆE'!E352)</f>
        <v>0</v>
      </c>
      <c r="M103" s="389">
        <f>SUM('RASHODI ZA VIJEĆE'!F352)</f>
        <v>0</v>
      </c>
      <c r="N103" s="389">
        <f>SUM('RASHODI ZA VIJEĆE'!G352)</f>
        <v>0</v>
      </c>
      <c r="O103" s="389">
        <f>SUM('RASHODI ZA VIJEĆE'!H352)</f>
        <v>0</v>
      </c>
      <c r="P103" s="389">
        <f>SUM('RASHODI ZA VIJEĆE'!I352)</f>
        <v>0</v>
      </c>
      <c r="Q103" s="390">
        <f t="shared" si="17"/>
        <v>0</v>
      </c>
      <c r="R103" s="390">
        <f t="shared" si="18"/>
        <v>0</v>
      </c>
      <c r="S103" s="390">
        <f t="shared" si="19"/>
        <v>0</v>
      </c>
      <c r="T103" s="406"/>
      <c r="U103" s="392"/>
      <c r="V103" s="392"/>
      <c r="W103" s="392"/>
      <c r="X103" s="392"/>
      <c r="Y103" s="392"/>
      <c r="Z103" s="392"/>
      <c r="AA103" s="392"/>
      <c r="AB103" s="392"/>
    </row>
    <row r="104" spans="1:28" s="336" customFormat="1" x14ac:dyDescent="0.3">
      <c r="A104" s="386">
        <v>50</v>
      </c>
      <c r="B104" s="471">
        <v>421</v>
      </c>
      <c r="C104" s="471"/>
      <c r="D104" s="471"/>
      <c r="E104" s="471"/>
      <c r="F104" s="471"/>
      <c r="G104" s="471"/>
      <c r="H104" s="471"/>
      <c r="I104" s="471"/>
      <c r="J104" s="388" t="s">
        <v>508</v>
      </c>
      <c r="K104" s="405" t="s">
        <v>975</v>
      </c>
      <c r="L104" s="389">
        <f>SUM('RASHODI ZA VIJEĆE'!E355)</f>
        <v>0</v>
      </c>
      <c r="M104" s="389">
        <f>SUM('RASHODI ZA VIJEĆE'!F355)</f>
        <v>0</v>
      </c>
      <c r="N104" s="389">
        <f>SUM('RASHODI ZA VIJEĆE'!G355)</f>
        <v>0</v>
      </c>
      <c r="O104" s="389">
        <f>SUM('RASHODI ZA VIJEĆE'!H355)</f>
        <v>0</v>
      </c>
      <c r="P104" s="389">
        <f>SUM('RASHODI ZA VIJEĆE'!I355)</f>
        <v>0</v>
      </c>
      <c r="Q104" s="390">
        <f t="shared" si="17"/>
        <v>0</v>
      </c>
      <c r="R104" s="390">
        <f t="shared" si="18"/>
        <v>0</v>
      </c>
      <c r="S104" s="390">
        <f t="shared" si="19"/>
        <v>0</v>
      </c>
      <c r="T104" s="406"/>
      <c r="U104" s="392"/>
      <c r="V104" s="392"/>
      <c r="W104" s="392"/>
      <c r="X104" s="392"/>
      <c r="Y104" s="392"/>
      <c r="Z104" s="392"/>
      <c r="AA104" s="392"/>
      <c r="AB104" s="392"/>
    </row>
    <row r="105" spans="1:28" s="336" customFormat="1" x14ac:dyDescent="0.3">
      <c r="A105" s="386">
        <v>51</v>
      </c>
      <c r="B105" s="471">
        <v>411</v>
      </c>
      <c r="C105" s="471"/>
      <c r="D105" s="471"/>
      <c r="E105" s="471"/>
      <c r="F105" s="471"/>
      <c r="G105" s="471"/>
      <c r="H105" s="471"/>
      <c r="I105" s="471"/>
      <c r="J105" s="388" t="s">
        <v>508</v>
      </c>
      <c r="K105" s="336" t="s">
        <v>81</v>
      </c>
      <c r="L105" s="389">
        <f>SUM('RASHODI ZA VIJEĆE'!E342)</f>
        <v>16384.8</v>
      </c>
      <c r="M105" s="389">
        <f>SUM('RASHODI ZA VIJEĆE'!F342)</f>
        <v>16384.8</v>
      </c>
      <c r="N105" s="389">
        <f>SUM('RASHODI ZA VIJEĆE'!G342)</f>
        <v>6500</v>
      </c>
      <c r="O105" s="389">
        <f>SUM('RASHODI ZA VIJEĆE'!H342)</f>
        <v>16500</v>
      </c>
      <c r="P105" s="389">
        <f>SUM('RASHODI ZA VIJEĆE'!I342)</f>
        <v>16384.8</v>
      </c>
      <c r="Q105" s="390">
        <f t="shared" si="17"/>
        <v>1</v>
      </c>
      <c r="R105" s="390">
        <f t="shared" si="18"/>
        <v>1</v>
      </c>
      <c r="S105" s="390">
        <f t="shared" si="19"/>
        <v>0.9930181818181818</v>
      </c>
      <c r="T105" s="391">
        <v>311</v>
      </c>
      <c r="U105" s="392"/>
      <c r="V105" s="392"/>
      <c r="W105" s="392"/>
      <c r="X105" s="392"/>
      <c r="Y105" s="392"/>
      <c r="Z105" s="392"/>
      <c r="AA105" s="392"/>
      <c r="AB105" s="392"/>
    </row>
    <row r="106" spans="1:28" s="336" customFormat="1" x14ac:dyDescent="0.3">
      <c r="A106" s="386">
        <v>52</v>
      </c>
      <c r="B106" s="471">
        <v>412</v>
      </c>
      <c r="C106" s="471"/>
      <c r="D106" s="471"/>
      <c r="E106" s="471"/>
      <c r="F106" s="471"/>
      <c r="G106" s="471"/>
      <c r="H106" s="471"/>
      <c r="I106" s="471"/>
      <c r="J106" s="388" t="s">
        <v>506</v>
      </c>
      <c r="K106" s="336" t="s">
        <v>60</v>
      </c>
      <c r="L106" s="389">
        <f>SUM('RASHODI ZA VIJEĆE'!E344)</f>
        <v>530.01</v>
      </c>
      <c r="M106" s="389">
        <f>SUM('RASHODI ZA VIJEĆE'!F344)</f>
        <v>914.01</v>
      </c>
      <c r="N106" s="389">
        <f>SUM('RASHODI ZA VIJEĆE'!G344)</f>
        <v>1500</v>
      </c>
      <c r="O106" s="389">
        <f>SUM('RASHODI ZA VIJEĆE'!H344)</f>
        <v>1500</v>
      </c>
      <c r="P106" s="389">
        <f>SUM('RASHODI ZA VIJEĆE'!I344)</f>
        <v>914.01</v>
      </c>
      <c r="Q106" s="390">
        <f t="shared" si="17"/>
        <v>1.7245146317994</v>
      </c>
      <c r="R106" s="390">
        <f t="shared" si="18"/>
        <v>1</v>
      </c>
      <c r="S106" s="390">
        <f t="shared" si="19"/>
        <v>0.60933999999999999</v>
      </c>
      <c r="T106" s="391">
        <v>313</v>
      </c>
      <c r="U106" s="392"/>
      <c r="V106" s="392"/>
      <c r="W106" s="392"/>
      <c r="X106" s="392"/>
      <c r="Y106" s="392"/>
      <c r="Z106" s="392"/>
      <c r="AA106" s="392"/>
      <c r="AB106" s="392"/>
    </row>
    <row r="107" spans="1:28" s="336" customFormat="1" x14ac:dyDescent="0.3">
      <c r="A107" s="386">
        <v>53</v>
      </c>
      <c r="B107" s="471">
        <v>422</v>
      </c>
      <c r="C107" s="471"/>
      <c r="D107" s="471"/>
      <c r="E107" s="471"/>
      <c r="F107" s="471"/>
      <c r="G107" s="471"/>
      <c r="H107" s="471"/>
      <c r="I107" s="471"/>
      <c r="J107" s="388" t="s">
        <v>505</v>
      </c>
      <c r="K107" s="336" t="s">
        <v>42</v>
      </c>
      <c r="L107" s="389">
        <f>SUM('RASHODI ZA VIJEĆE'!E373:E376)</f>
        <v>5351.05</v>
      </c>
      <c r="M107" s="389">
        <f>SUM('RASHODI ZA VIJEĆE'!F373:F376)</f>
        <v>5891.6</v>
      </c>
      <c r="N107" s="389">
        <f>SUM('RASHODI ZA VIJEĆE'!G373:G376)</f>
        <v>18500</v>
      </c>
      <c r="O107" s="389">
        <f>SUM('RASHODI ZA VIJEĆE'!H373:H376)</f>
        <v>10000</v>
      </c>
      <c r="P107" s="389">
        <f>SUM('RASHODI ZA VIJEĆE'!I373:I376)</f>
        <v>5891.6</v>
      </c>
      <c r="Q107" s="390">
        <f t="shared" si="17"/>
        <v>1.1010175573018379</v>
      </c>
      <c r="R107" s="390">
        <f t="shared" si="18"/>
        <v>1</v>
      </c>
      <c r="S107" s="390">
        <f t="shared" si="19"/>
        <v>0.58916000000000002</v>
      </c>
      <c r="T107" s="391" t="s">
        <v>485</v>
      </c>
      <c r="U107" s="392"/>
      <c r="V107" s="392"/>
      <c r="W107" s="392"/>
      <c r="X107" s="392"/>
      <c r="Y107" s="392"/>
      <c r="Z107" s="392"/>
      <c r="AA107" s="392"/>
      <c r="AB107" s="392"/>
    </row>
    <row r="108" spans="1:28" s="336" customFormat="1" x14ac:dyDescent="0.3">
      <c r="A108" s="386">
        <v>54</v>
      </c>
      <c r="B108" s="471">
        <v>422</v>
      </c>
      <c r="C108" s="471"/>
      <c r="D108" s="471"/>
      <c r="E108" s="471"/>
      <c r="F108" s="471"/>
      <c r="G108" s="471"/>
      <c r="H108" s="471"/>
      <c r="I108" s="471"/>
      <c r="J108" s="388" t="s">
        <v>505</v>
      </c>
      <c r="K108" s="336" t="s">
        <v>92</v>
      </c>
      <c r="L108" s="389">
        <f>SUM('RASHODI ZA VIJEĆE'!E378)</f>
        <v>0</v>
      </c>
      <c r="M108" s="389">
        <f>SUM('RASHODI ZA VIJEĆE'!F378)</f>
        <v>1349.99</v>
      </c>
      <c r="N108" s="389">
        <f>SUM('RASHODI ZA VIJEĆE'!G378)</f>
        <v>1500</v>
      </c>
      <c r="O108" s="389">
        <f>SUM('RASHODI ZA VIJEĆE'!H378)</f>
        <v>2000</v>
      </c>
      <c r="P108" s="389">
        <f>SUM('RASHODI ZA VIJEĆE'!I378)</f>
        <v>1349.99</v>
      </c>
      <c r="Q108" s="390">
        <f t="shared" si="17"/>
        <v>0</v>
      </c>
      <c r="R108" s="390">
        <f t="shared" si="18"/>
        <v>1</v>
      </c>
      <c r="S108" s="390">
        <f t="shared" si="19"/>
        <v>0.67499500000000001</v>
      </c>
      <c r="T108" s="391" t="s">
        <v>486</v>
      </c>
      <c r="U108" s="392"/>
      <c r="V108" s="392"/>
      <c r="W108" s="392"/>
      <c r="X108" s="392"/>
      <c r="Y108" s="392"/>
      <c r="Z108" s="392"/>
      <c r="AA108" s="392"/>
      <c r="AB108" s="393"/>
    </row>
    <row r="109" spans="1:28" s="336" customFormat="1" x14ac:dyDescent="0.3">
      <c r="A109" s="386">
        <v>55</v>
      </c>
      <c r="B109" s="471">
        <v>422</v>
      </c>
      <c r="C109" s="471"/>
      <c r="D109" s="471"/>
      <c r="E109" s="471"/>
      <c r="F109" s="471"/>
      <c r="G109" s="471"/>
      <c r="H109" s="471"/>
      <c r="I109" s="471"/>
      <c r="J109" s="388" t="s">
        <v>508</v>
      </c>
      <c r="K109" s="336" t="s">
        <v>93</v>
      </c>
      <c r="L109" s="389">
        <f>SUM('RASHODI ZA VIJEĆE'!E381+'RASHODI ZA VIJEĆE'!E383+'RASHODI ZA VIJEĆE'!E385)</f>
        <v>36125.179999999993</v>
      </c>
      <c r="M109" s="389">
        <f>SUM('RASHODI ZA VIJEĆE'!F381+'RASHODI ZA VIJEĆE'!F383+'RASHODI ZA VIJEĆE'!F385)</f>
        <v>150378.02000000002</v>
      </c>
      <c r="N109" s="389">
        <f>SUM('RASHODI ZA VIJEĆE'!G381+'RASHODI ZA VIJEĆE'!G383+'RASHODI ZA VIJEĆE'!G385)</f>
        <v>63000</v>
      </c>
      <c r="O109" s="389">
        <f>SUM('RASHODI ZA VIJEĆE'!H381+'RASHODI ZA VIJEĆE'!H383+'RASHODI ZA VIJEĆE'!H385)</f>
        <v>138000</v>
      </c>
      <c r="P109" s="389">
        <f>SUM('RASHODI ZA VIJEĆE'!I381+'RASHODI ZA VIJEĆE'!I383+'RASHODI ZA VIJEĆE'!I385)</f>
        <v>150378.02000000002</v>
      </c>
      <c r="Q109" s="390">
        <f t="shared" si="17"/>
        <v>4.1626926149572139</v>
      </c>
      <c r="R109" s="390">
        <f t="shared" si="18"/>
        <v>1</v>
      </c>
      <c r="S109" s="390">
        <f t="shared" si="19"/>
        <v>1.0896957971014494</v>
      </c>
      <c r="T109" s="391" t="s">
        <v>496</v>
      </c>
      <c r="U109" s="392"/>
      <c r="V109" s="392"/>
      <c r="W109" s="392"/>
      <c r="X109" s="392"/>
      <c r="Y109" s="392"/>
      <c r="Z109" s="392"/>
      <c r="AA109" s="392"/>
      <c r="AB109" s="392"/>
    </row>
    <row r="110" spans="1:28" s="336" customFormat="1" x14ac:dyDescent="0.3">
      <c r="A110" s="386">
        <v>56</v>
      </c>
      <c r="B110" s="471">
        <v>422</v>
      </c>
      <c r="C110" s="471"/>
      <c r="D110" s="471"/>
      <c r="E110" s="471"/>
      <c r="F110" s="471"/>
      <c r="G110" s="471"/>
      <c r="H110" s="471"/>
      <c r="I110" s="471"/>
      <c r="J110" s="388" t="s">
        <v>504</v>
      </c>
      <c r="K110" s="336" t="s">
        <v>399</v>
      </c>
      <c r="L110" s="389">
        <f>SUM('RASHODI ZA VIJEĆE'!E391)</f>
        <v>0</v>
      </c>
      <c r="M110" s="389">
        <f>SUM('RASHODI ZA VIJEĆE'!F391)</f>
        <v>0</v>
      </c>
      <c r="N110" s="389">
        <f>SUM('RASHODI ZA VIJEĆE'!G391)</f>
        <v>4000</v>
      </c>
      <c r="O110" s="389">
        <f>SUM('RASHODI ZA VIJEĆE'!H391)</f>
        <v>0</v>
      </c>
      <c r="P110" s="389">
        <f>SUM('RASHODI ZA VIJEĆE'!I391)</f>
        <v>0</v>
      </c>
      <c r="Q110" s="390">
        <f t="shared" si="17"/>
        <v>0</v>
      </c>
      <c r="R110" s="390">
        <f t="shared" si="18"/>
        <v>0</v>
      </c>
      <c r="S110" s="390">
        <f t="shared" si="19"/>
        <v>0</v>
      </c>
      <c r="T110" s="391">
        <v>346</v>
      </c>
      <c r="U110" s="392"/>
      <c r="V110" s="392"/>
      <c r="W110" s="392"/>
      <c r="X110" s="392"/>
      <c r="Y110" s="392"/>
      <c r="Z110" s="392"/>
      <c r="AA110" s="392"/>
      <c r="AB110" s="392"/>
    </row>
    <row r="111" spans="1:28" s="336" customFormat="1" x14ac:dyDescent="0.3">
      <c r="A111" s="386">
        <v>57</v>
      </c>
      <c r="B111" s="471">
        <v>451</v>
      </c>
      <c r="C111" s="471"/>
      <c r="D111" s="471"/>
      <c r="E111" s="471"/>
      <c r="F111" s="471"/>
      <c r="G111" s="471"/>
      <c r="H111" s="471"/>
      <c r="I111" s="471"/>
      <c r="J111" s="388" t="s">
        <v>508</v>
      </c>
      <c r="K111" s="397" t="s">
        <v>433</v>
      </c>
      <c r="L111" s="389">
        <f>SUM('RASHODI ZA VIJEĆE'!E394)</f>
        <v>832.81</v>
      </c>
      <c r="M111" s="389">
        <f>SUM('RASHODI ZA VIJEĆE'!F394)</f>
        <v>73491.81</v>
      </c>
      <c r="N111" s="389">
        <f>SUM('RASHODI ZA VIJEĆE'!G394)</f>
        <v>50000</v>
      </c>
      <c r="O111" s="389">
        <f>SUM('RASHODI ZA VIJEĆE'!H394)</f>
        <v>80000</v>
      </c>
      <c r="P111" s="389">
        <f>SUM('RASHODI ZA VIJEĆE'!I394)</f>
        <v>73491.81</v>
      </c>
      <c r="Q111" s="390">
        <f t="shared" si="17"/>
        <v>88.24559023066486</v>
      </c>
      <c r="R111" s="390">
        <f t="shared" si="18"/>
        <v>1</v>
      </c>
      <c r="S111" s="390">
        <f t="shared" si="19"/>
        <v>0.91864762499999997</v>
      </c>
      <c r="T111" s="391">
        <v>349</v>
      </c>
      <c r="U111" s="392"/>
      <c r="V111" s="392"/>
      <c r="W111" s="392"/>
      <c r="X111" s="392"/>
      <c r="Y111" s="392"/>
      <c r="Z111" s="392"/>
      <c r="AA111" s="392"/>
      <c r="AB111" s="392"/>
    </row>
    <row r="112" spans="1:28" s="336" customFormat="1" x14ac:dyDescent="0.3">
      <c r="A112" s="386"/>
      <c r="B112" s="387"/>
      <c r="C112" s="387"/>
      <c r="D112" s="387"/>
      <c r="E112" s="387"/>
      <c r="F112" s="387"/>
      <c r="G112" s="387"/>
      <c r="H112" s="387"/>
      <c r="I112" s="387"/>
      <c r="J112" s="388"/>
      <c r="K112" s="397"/>
      <c r="L112" s="389"/>
      <c r="M112" s="389"/>
      <c r="N112" s="389"/>
      <c r="O112" s="389"/>
      <c r="P112" s="389"/>
      <c r="Q112" s="390"/>
      <c r="R112" s="390"/>
      <c r="S112" s="390"/>
      <c r="T112" s="391"/>
      <c r="U112" s="392"/>
      <c r="V112" s="392"/>
      <c r="W112" s="392"/>
      <c r="X112" s="392"/>
      <c r="Y112" s="392"/>
      <c r="Z112" s="392"/>
      <c r="AA112" s="392"/>
      <c r="AB112" s="392"/>
    </row>
    <row r="113" spans="1:28" s="374" customFormat="1" ht="21" thickBot="1" x14ac:dyDescent="0.35">
      <c r="A113" s="400"/>
      <c r="B113" s="376">
        <v>1</v>
      </c>
      <c r="C113" s="376">
        <v>2</v>
      </c>
      <c r="D113" s="376">
        <v>3</v>
      </c>
      <c r="E113" s="376"/>
      <c r="F113" s="376"/>
      <c r="G113" s="376"/>
      <c r="H113" s="376"/>
      <c r="I113" s="355" t="s">
        <v>1094</v>
      </c>
      <c r="J113" s="401"/>
      <c r="K113" s="355"/>
      <c r="L113" s="403">
        <f>SUM(L115+L124+L129+L138)</f>
        <v>133069.46</v>
      </c>
      <c r="M113" s="403">
        <f>SUM(M115+M124+M129+M138)</f>
        <v>303484.99</v>
      </c>
      <c r="N113" s="403">
        <f>SUM(N115+N124+N129+N138)</f>
        <v>380500</v>
      </c>
      <c r="O113" s="403">
        <f>SUM(O115+O124+O129+O138)</f>
        <v>349500</v>
      </c>
      <c r="P113" s="403">
        <f>SUM(P115+P124+P129+P138)</f>
        <v>303484.99</v>
      </c>
      <c r="Q113" s="404">
        <f>IFERROR(SUM(P113/L113),0)</f>
        <v>2.2806509472571692</v>
      </c>
      <c r="R113" s="404">
        <f>IFERROR(SUM(P113/M113),0)</f>
        <v>1</v>
      </c>
      <c r="S113" s="404">
        <f>IFERROR(SUM(P113/O113),0)</f>
        <v>0.86834045779685265</v>
      </c>
      <c r="T113" s="375"/>
      <c r="U113" s="373"/>
      <c r="V113" s="373"/>
      <c r="W113" s="373"/>
      <c r="X113" s="373"/>
      <c r="Y113" s="373"/>
      <c r="Z113" s="373"/>
      <c r="AA113" s="373"/>
      <c r="AB113" s="373"/>
    </row>
    <row r="114" spans="1:28" s="273" customFormat="1" ht="21" thickTop="1" x14ac:dyDescent="0.3">
      <c r="A114" s="377"/>
      <c r="B114" s="472" t="s">
        <v>817</v>
      </c>
      <c r="C114" s="472"/>
      <c r="D114" s="472"/>
      <c r="E114" s="472"/>
      <c r="F114" s="472"/>
      <c r="G114" s="472"/>
      <c r="H114" s="472"/>
      <c r="I114" s="472"/>
      <c r="J114" s="472"/>
      <c r="K114" s="472"/>
      <c r="L114" s="379"/>
      <c r="M114" s="379"/>
      <c r="N114" s="379"/>
      <c r="O114" s="379"/>
      <c r="P114" s="379"/>
      <c r="Q114" s="380"/>
      <c r="R114" s="380"/>
      <c r="S114" s="380"/>
      <c r="T114" s="381"/>
      <c r="U114" s="383"/>
      <c r="V114" s="383"/>
      <c r="W114" s="383"/>
      <c r="X114" s="383"/>
      <c r="Y114" s="383"/>
      <c r="Z114" s="383"/>
      <c r="AA114" s="383"/>
      <c r="AB114" s="383"/>
    </row>
    <row r="115" spans="1:28" s="322" customFormat="1" x14ac:dyDescent="0.3">
      <c r="A115" s="394"/>
      <c r="B115" s="472">
        <v>3</v>
      </c>
      <c r="C115" s="472"/>
      <c r="D115" s="472"/>
      <c r="E115" s="472"/>
      <c r="F115" s="472"/>
      <c r="G115" s="472"/>
      <c r="H115" s="472"/>
      <c r="I115" s="472"/>
      <c r="J115" s="395"/>
      <c r="K115" s="273" t="s">
        <v>20</v>
      </c>
      <c r="L115" s="379">
        <f>SUM(L116)</f>
        <v>49762.509999999995</v>
      </c>
      <c r="M115" s="379">
        <f>SUM(M116)</f>
        <v>106919.64</v>
      </c>
      <c r="N115" s="379">
        <f>SUM(N116)</f>
        <v>110500</v>
      </c>
      <c r="O115" s="379">
        <f>SUM(O116)</f>
        <v>109500</v>
      </c>
      <c r="P115" s="379">
        <f>SUM(P116)</f>
        <v>106919.64</v>
      </c>
      <c r="Q115" s="380">
        <f t="shared" ref="Q115:Q122" si="20">IFERROR(SUM(P115/L115),0)</f>
        <v>2.1485982117863429</v>
      </c>
      <c r="R115" s="380">
        <f t="shared" ref="R115:R122" si="21">IFERROR(SUM(P115/M115),0)</f>
        <v>1</v>
      </c>
      <c r="S115" s="380">
        <f t="shared" ref="S115:S122" si="22">IFERROR(SUM(P115/O115),0)</f>
        <v>0.97643506849315065</v>
      </c>
      <c r="T115" s="381"/>
      <c r="U115" s="357"/>
      <c r="V115" s="357"/>
      <c r="W115" s="357"/>
      <c r="X115" s="357"/>
      <c r="Y115" s="357"/>
      <c r="Z115" s="357"/>
      <c r="AA115" s="357"/>
      <c r="AB115" s="357"/>
    </row>
    <row r="116" spans="1:28" s="322" customFormat="1" x14ac:dyDescent="0.3">
      <c r="A116" s="394"/>
      <c r="B116" s="472">
        <v>32</v>
      </c>
      <c r="C116" s="472"/>
      <c r="D116" s="472"/>
      <c r="E116" s="472"/>
      <c r="F116" s="472"/>
      <c r="G116" s="472"/>
      <c r="H116" s="472"/>
      <c r="I116" s="472"/>
      <c r="J116" s="395"/>
      <c r="K116" s="273" t="s">
        <v>59</v>
      </c>
      <c r="L116" s="379">
        <f>SUM(L117+L119)</f>
        <v>49762.509999999995</v>
      </c>
      <c r="M116" s="379">
        <f>SUM(M117+M119)</f>
        <v>106919.64</v>
      </c>
      <c r="N116" s="379">
        <f>SUM(N117+N119)</f>
        <v>110500</v>
      </c>
      <c r="O116" s="379">
        <f>SUM(O117+O119)</f>
        <v>109500</v>
      </c>
      <c r="P116" s="379">
        <f>SUM(P117+P119)</f>
        <v>106919.64</v>
      </c>
      <c r="Q116" s="380">
        <f t="shared" si="20"/>
        <v>2.1485982117863429</v>
      </c>
      <c r="R116" s="380">
        <f t="shared" si="21"/>
        <v>1</v>
      </c>
      <c r="S116" s="380">
        <f t="shared" si="22"/>
        <v>0.97643506849315065</v>
      </c>
      <c r="T116" s="381"/>
      <c r="U116" s="357"/>
      <c r="V116" s="357"/>
      <c r="W116" s="357"/>
      <c r="X116" s="357"/>
      <c r="Y116" s="357"/>
      <c r="Z116" s="357"/>
      <c r="AA116" s="357"/>
      <c r="AB116" s="357"/>
    </row>
    <row r="117" spans="1:28" s="273" customFormat="1" x14ac:dyDescent="0.3">
      <c r="A117" s="377"/>
      <c r="B117" s="472">
        <v>322</v>
      </c>
      <c r="C117" s="472"/>
      <c r="D117" s="472"/>
      <c r="E117" s="472"/>
      <c r="F117" s="472"/>
      <c r="G117" s="472"/>
      <c r="H117" s="472"/>
      <c r="I117" s="472"/>
      <c r="J117" s="384"/>
      <c r="K117" s="273" t="s">
        <v>6</v>
      </c>
      <c r="L117" s="379">
        <f>SUM(L118)</f>
        <v>10208.17</v>
      </c>
      <c r="M117" s="379">
        <f>SUM(M118)</f>
        <v>25175.74</v>
      </c>
      <c r="N117" s="379">
        <f>SUM(N118)</f>
        <v>27000</v>
      </c>
      <c r="O117" s="379">
        <f>SUM(O118)</f>
        <v>27000</v>
      </c>
      <c r="P117" s="379">
        <f>SUM(P118)</f>
        <v>25175.74</v>
      </c>
      <c r="Q117" s="380">
        <f t="shared" si="20"/>
        <v>2.4662343985258866</v>
      </c>
      <c r="R117" s="380">
        <f t="shared" si="21"/>
        <v>1</v>
      </c>
      <c r="S117" s="380">
        <f t="shared" si="22"/>
        <v>0.93243481481481483</v>
      </c>
      <c r="T117" s="381"/>
      <c r="U117" s="383"/>
      <c r="V117" s="383"/>
      <c r="W117" s="383"/>
      <c r="X117" s="383"/>
      <c r="Y117" s="383"/>
      <c r="Z117" s="383"/>
      <c r="AA117" s="383"/>
      <c r="AB117" s="383"/>
    </row>
    <row r="118" spans="1:28" s="336" customFormat="1" x14ac:dyDescent="0.3">
      <c r="A118" s="386">
        <v>58</v>
      </c>
      <c r="B118" s="471">
        <v>322</v>
      </c>
      <c r="C118" s="471"/>
      <c r="D118" s="471"/>
      <c r="E118" s="471"/>
      <c r="F118" s="471"/>
      <c r="G118" s="471"/>
      <c r="H118" s="471"/>
      <c r="I118" s="471"/>
      <c r="J118" s="388" t="s">
        <v>509</v>
      </c>
      <c r="K118" s="336" t="s">
        <v>814</v>
      </c>
      <c r="L118" s="389">
        <f>SUM('RASHODI ZA VIJEĆE'!E77)</f>
        <v>10208.17</v>
      </c>
      <c r="M118" s="389">
        <f>SUM('RASHODI ZA VIJEĆE'!F77)</f>
        <v>25175.74</v>
      </c>
      <c r="N118" s="389">
        <f>SUM('RASHODI ZA VIJEĆE'!G77)</f>
        <v>27000</v>
      </c>
      <c r="O118" s="389">
        <f>SUM('RASHODI ZA VIJEĆE'!H77)</f>
        <v>27000</v>
      </c>
      <c r="P118" s="389">
        <f>SUM('RASHODI ZA VIJEĆE'!I77)</f>
        <v>25175.74</v>
      </c>
      <c r="Q118" s="390">
        <f t="shared" si="20"/>
        <v>2.4662343985258866</v>
      </c>
      <c r="R118" s="390">
        <f t="shared" si="21"/>
        <v>1</v>
      </c>
      <c r="S118" s="390">
        <f t="shared" si="22"/>
        <v>0.93243481481481483</v>
      </c>
      <c r="T118" s="391">
        <v>76</v>
      </c>
      <c r="U118" s="392"/>
      <c r="V118" s="392"/>
      <c r="W118" s="392"/>
      <c r="X118" s="392"/>
      <c r="Y118" s="392"/>
      <c r="Z118" s="392"/>
      <c r="AA118" s="392"/>
      <c r="AB118" s="392"/>
    </row>
    <row r="119" spans="1:28" s="273" customFormat="1" x14ac:dyDescent="0.3">
      <c r="A119" s="377"/>
      <c r="B119" s="472">
        <v>323</v>
      </c>
      <c r="C119" s="472"/>
      <c r="D119" s="472"/>
      <c r="E119" s="472"/>
      <c r="F119" s="472"/>
      <c r="G119" s="472"/>
      <c r="H119" s="472"/>
      <c r="I119" s="472"/>
      <c r="J119" s="384"/>
      <c r="K119" s="273" t="s">
        <v>2</v>
      </c>
      <c r="L119" s="379">
        <f>SUM(L120:L122)</f>
        <v>39554.339999999997</v>
      </c>
      <c r="M119" s="379">
        <f>SUM(M120:M122)</f>
        <v>81743.899999999994</v>
      </c>
      <c r="N119" s="379">
        <f>SUM(N120:N122)</f>
        <v>83500</v>
      </c>
      <c r="O119" s="379">
        <f>SUM(O120:O122)</f>
        <v>82500</v>
      </c>
      <c r="P119" s="379">
        <f>SUM(P120:P122)</f>
        <v>81743.899999999994</v>
      </c>
      <c r="Q119" s="380">
        <f t="shared" si="20"/>
        <v>2.0666227776774937</v>
      </c>
      <c r="R119" s="380">
        <f t="shared" si="21"/>
        <v>1</v>
      </c>
      <c r="S119" s="380">
        <f t="shared" si="22"/>
        <v>0.99083515151515145</v>
      </c>
      <c r="T119" s="381"/>
      <c r="U119" s="383"/>
      <c r="V119" s="383"/>
      <c r="W119" s="383"/>
      <c r="X119" s="383"/>
      <c r="Y119" s="383"/>
      <c r="Z119" s="383"/>
      <c r="AA119" s="383"/>
      <c r="AB119" s="383"/>
    </row>
    <row r="120" spans="1:28" s="336" customFormat="1" x14ac:dyDescent="0.3">
      <c r="A120" s="386">
        <v>59</v>
      </c>
      <c r="B120" s="471">
        <v>323</v>
      </c>
      <c r="C120" s="471"/>
      <c r="D120" s="471"/>
      <c r="E120" s="471"/>
      <c r="F120" s="471"/>
      <c r="G120" s="471"/>
      <c r="H120" s="471"/>
      <c r="I120" s="471"/>
      <c r="J120" s="388" t="s">
        <v>509</v>
      </c>
      <c r="K120" s="336" t="s">
        <v>57</v>
      </c>
      <c r="L120" s="389">
        <f>SUM('RASHODI ZA VIJEĆE'!E107+'RASHODI ZA VIJEĆE'!E108)</f>
        <v>3257.59</v>
      </c>
      <c r="M120" s="389">
        <f>SUM('RASHODI ZA VIJEĆE'!F107+'RASHODI ZA VIJEĆE'!F108)</f>
        <v>6354.29</v>
      </c>
      <c r="N120" s="389">
        <f>SUM('RASHODI ZA VIJEĆE'!G107+'RASHODI ZA VIJEĆE'!G108)</f>
        <v>10000</v>
      </c>
      <c r="O120" s="389">
        <f>SUM('RASHODI ZA VIJEĆE'!H107+'RASHODI ZA VIJEĆE'!H108)</f>
        <v>7000</v>
      </c>
      <c r="P120" s="389">
        <f>SUM('RASHODI ZA VIJEĆE'!I107+'RASHODI ZA VIJEĆE'!I108)</f>
        <v>6354.29</v>
      </c>
      <c r="Q120" s="390">
        <f t="shared" si="20"/>
        <v>1.9506107275624003</v>
      </c>
      <c r="R120" s="390">
        <f t="shared" si="21"/>
        <v>1</v>
      </c>
      <c r="S120" s="390">
        <f t="shared" si="22"/>
        <v>0.90775571428571433</v>
      </c>
      <c r="T120" s="391" t="s">
        <v>487</v>
      </c>
      <c r="U120" s="392"/>
      <c r="V120" s="392"/>
      <c r="W120" s="392"/>
      <c r="X120" s="392"/>
      <c r="Y120" s="392"/>
      <c r="Z120" s="392"/>
      <c r="AA120" s="393"/>
      <c r="AB120" s="392"/>
    </row>
    <row r="121" spans="1:28" s="336" customFormat="1" x14ac:dyDescent="0.3">
      <c r="A121" s="386">
        <v>60</v>
      </c>
      <c r="B121" s="471">
        <v>323</v>
      </c>
      <c r="C121" s="471"/>
      <c r="D121" s="471"/>
      <c r="E121" s="471"/>
      <c r="F121" s="471"/>
      <c r="G121" s="471"/>
      <c r="H121" s="471"/>
      <c r="I121" s="471"/>
      <c r="J121" s="388" t="s">
        <v>509</v>
      </c>
      <c r="K121" s="336" t="s">
        <v>91</v>
      </c>
      <c r="L121" s="389">
        <f>SUM('RASHODI ZA VIJEĆE'!E140)</f>
        <v>2551.9699999999998</v>
      </c>
      <c r="M121" s="389">
        <f>SUM('RASHODI ZA VIJEĆE'!F140)</f>
        <v>7900.05</v>
      </c>
      <c r="N121" s="389">
        <f>SUM('RASHODI ZA VIJEĆE'!G140)</f>
        <v>5500</v>
      </c>
      <c r="O121" s="389">
        <f>SUM('RASHODI ZA VIJEĆE'!H140)</f>
        <v>7500</v>
      </c>
      <c r="P121" s="389">
        <f>SUM('RASHODI ZA VIJEĆE'!I140)</f>
        <v>7900.05</v>
      </c>
      <c r="Q121" s="390">
        <f t="shared" si="20"/>
        <v>3.0956672688158564</v>
      </c>
      <c r="R121" s="390">
        <f t="shared" si="21"/>
        <v>1</v>
      </c>
      <c r="S121" s="390">
        <f t="shared" si="22"/>
        <v>1.0533399999999999</v>
      </c>
      <c r="T121" s="391">
        <v>139</v>
      </c>
      <c r="U121" s="392"/>
      <c r="V121" s="392"/>
      <c r="W121" s="392"/>
      <c r="X121" s="392"/>
      <c r="Y121" s="392"/>
      <c r="Z121" s="392"/>
      <c r="AA121" s="392"/>
      <c r="AB121" s="392"/>
    </row>
    <row r="122" spans="1:28" s="336" customFormat="1" x14ac:dyDescent="0.3">
      <c r="A122" s="386">
        <v>61</v>
      </c>
      <c r="B122" s="471">
        <v>323</v>
      </c>
      <c r="C122" s="471"/>
      <c r="D122" s="471"/>
      <c r="E122" s="471"/>
      <c r="F122" s="471"/>
      <c r="G122" s="471"/>
      <c r="H122" s="471"/>
      <c r="I122" s="471"/>
      <c r="J122" s="388" t="s">
        <v>509</v>
      </c>
      <c r="K122" s="336" t="s">
        <v>802</v>
      </c>
      <c r="L122" s="389">
        <f>SUM('RASHODI ZA VIJEĆE'!E168)</f>
        <v>33744.78</v>
      </c>
      <c r="M122" s="389">
        <f>SUM('RASHODI ZA VIJEĆE'!F168)</f>
        <v>67489.56</v>
      </c>
      <c r="N122" s="389">
        <f>SUM('RASHODI ZA VIJEĆE'!G168)</f>
        <v>68000</v>
      </c>
      <c r="O122" s="389">
        <f>SUM('RASHODI ZA VIJEĆE'!H168)</f>
        <v>68000</v>
      </c>
      <c r="P122" s="389">
        <f>SUM('RASHODI ZA VIJEĆE'!I168)</f>
        <v>67489.56</v>
      </c>
      <c r="Q122" s="390">
        <f t="shared" si="20"/>
        <v>2</v>
      </c>
      <c r="R122" s="390">
        <f t="shared" si="21"/>
        <v>1</v>
      </c>
      <c r="S122" s="390">
        <f t="shared" si="22"/>
        <v>0.99249352941176472</v>
      </c>
      <c r="T122" s="391">
        <v>166</v>
      </c>
      <c r="U122" s="392"/>
      <c r="V122" s="392"/>
      <c r="W122" s="392"/>
      <c r="X122" s="392"/>
      <c r="Y122" s="392"/>
      <c r="Z122" s="392"/>
      <c r="AA122" s="392"/>
      <c r="AB122" s="392"/>
    </row>
    <row r="123" spans="1:28" s="322" customFormat="1" x14ac:dyDescent="0.3">
      <c r="A123" s="394"/>
      <c r="B123" s="273" t="s">
        <v>823</v>
      </c>
      <c r="L123" s="398"/>
      <c r="M123" s="398"/>
      <c r="N123" s="398"/>
      <c r="O123" s="398"/>
      <c r="P123" s="398"/>
      <c r="Q123" s="399"/>
      <c r="R123" s="399"/>
      <c r="S123" s="399"/>
      <c r="T123" s="396"/>
      <c r="U123" s="357"/>
      <c r="V123" s="357"/>
      <c r="W123" s="357"/>
      <c r="X123" s="357"/>
      <c r="Y123" s="357"/>
      <c r="Z123" s="357"/>
      <c r="AA123" s="357"/>
      <c r="AB123" s="357"/>
    </row>
    <row r="124" spans="1:28" s="322" customFormat="1" x14ac:dyDescent="0.3">
      <c r="A124" s="394"/>
      <c r="B124" s="472">
        <v>3</v>
      </c>
      <c r="C124" s="472"/>
      <c r="D124" s="472"/>
      <c r="E124" s="472"/>
      <c r="F124" s="472"/>
      <c r="G124" s="472"/>
      <c r="H124" s="472"/>
      <c r="I124" s="472"/>
      <c r="J124" s="395"/>
      <c r="K124" s="273" t="s">
        <v>20</v>
      </c>
      <c r="L124" s="379">
        <f>SUM(L125)</f>
        <v>2259.0500000000002</v>
      </c>
      <c r="M124" s="379">
        <f t="shared" ref="M124:P126" si="23">SUM(M125)</f>
        <v>5043.05</v>
      </c>
      <c r="N124" s="379">
        <f t="shared" si="23"/>
        <v>60000</v>
      </c>
      <c r="O124" s="379">
        <f t="shared" si="23"/>
        <v>10000</v>
      </c>
      <c r="P124" s="379">
        <f t="shared" si="23"/>
        <v>5043.05</v>
      </c>
      <c r="Q124" s="380">
        <f>IFERROR(SUM(P124/L124),0)</f>
        <v>2.2323764414244924</v>
      </c>
      <c r="R124" s="380">
        <f>IFERROR(SUM(P124/M124),0)</f>
        <v>1</v>
      </c>
      <c r="S124" s="380">
        <f>IFERROR(SUM(P124/O124),0)</f>
        <v>0.504305</v>
      </c>
      <c r="T124" s="396"/>
      <c r="U124" s="357"/>
      <c r="V124" s="357"/>
      <c r="W124" s="357"/>
      <c r="X124" s="357"/>
      <c r="Y124" s="357"/>
      <c r="Z124" s="357"/>
      <c r="AA124" s="357"/>
      <c r="AB124" s="357"/>
    </row>
    <row r="125" spans="1:28" s="322" customFormat="1" x14ac:dyDescent="0.3">
      <c r="A125" s="394"/>
      <c r="B125" s="472">
        <v>32</v>
      </c>
      <c r="C125" s="472"/>
      <c r="D125" s="472"/>
      <c r="E125" s="472"/>
      <c r="F125" s="472"/>
      <c r="G125" s="472"/>
      <c r="H125" s="472"/>
      <c r="I125" s="472"/>
      <c r="J125" s="395"/>
      <c r="K125" s="273" t="s">
        <v>59</v>
      </c>
      <c r="L125" s="379">
        <f>SUM(L126)</f>
        <v>2259.0500000000002</v>
      </c>
      <c r="M125" s="379">
        <f t="shared" si="23"/>
        <v>5043.05</v>
      </c>
      <c r="N125" s="379">
        <f t="shared" si="23"/>
        <v>60000</v>
      </c>
      <c r="O125" s="379">
        <f t="shared" si="23"/>
        <v>10000</v>
      </c>
      <c r="P125" s="379">
        <f t="shared" si="23"/>
        <v>5043.05</v>
      </c>
      <c r="Q125" s="380">
        <f>IFERROR(SUM(P125/L125),0)</f>
        <v>2.2323764414244924</v>
      </c>
      <c r="R125" s="380">
        <f>IFERROR(SUM(P125/M125),0)</f>
        <v>1</v>
      </c>
      <c r="S125" s="380">
        <f>IFERROR(SUM(P125/O125),0)</f>
        <v>0.504305</v>
      </c>
      <c r="T125" s="396"/>
      <c r="U125" s="357"/>
      <c r="V125" s="357"/>
      <c r="W125" s="357"/>
      <c r="X125" s="357"/>
      <c r="Y125" s="357"/>
      <c r="Z125" s="357"/>
      <c r="AA125" s="357"/>
      <c r="AB125" s="357"/>
    </row>
    <row r="126" spans="1:28" s="322" customFormat="1" x14ac:dyDescent="0.3">
      <c r="A126" s="394"/>
      <c r="B126" s="472">
        <v>322</v>
      </c>
      <c r="C126" s="472"/>
      <c r="D126" s="472"/>
      <c r="E126" s="472"/>
      <c r="F126" s="472"/>
      <c r="G126" s="472"/>
      <c r="H126" s="472"/>
      <c r="I126" s="472"/>
      <c r="J126" s="395"/>
      <c r="K126" s="273" t="s">
        <v>6</v>
      </c>
      <c r="L126" s="379">
        <f>SUM(L127)</f>
        <v>2259.0500000000002</v>
      </c>
      <c r="M126" s="379">
        <f t="shared" si="23"/>
        <v>5043.05</v>
      </c>
      <c r="N126" s="379">
        <f t="shared" si="23"/>
        <v>60000</v>
      </c>
      <c r="O126" s="379">
        <f t="shared" si="23"/>
        <v>10000</v>
      </c>
      <c r="P126" s="379">
        <f t="shared" si="23"/>
        <v>5043.05</v>
      </c>
      <c r="Q126" s="380">
        <f>IFERROR(SUM(P126/L126),0)</f>
        <v>2.2323764414244924</v>
      </c>
      <c r="R126" s="380">
        <f>IFERROR(SUM(P126/M126),0)</f>
        <v>1</v>
      </c>
      <c r="S126" s="380">
        <f>IFERROR(SUM(P126/O126),0)</f>
        <v>0.504305</v>
      </c>
      <c r="T126" s="396"/>
      <c r="U126" s="357"/>
      <c r="V126" s="357"/>
      <c r="W126" s="357"/>
      <c r="X126" s="357"/>
      <c r="Y126" s="357"/>
      <c r="Z126" s="357"/>
      <c r="AA126" s="357"/>
      <c r="AB126" s="357"/>
    </row>
    <row r="127" spans="1:28" s="336" customFormat="1" x14ac:dyDescent="0.3">
      <c r="A127" s="386">
        <v>62</v>
      </c>
      <c r="B127" s="471">
        <v>323</v>
      </c>
      <c r="C127" s="471"/>
      <c r="D127" s="471"/>
      <c r="E127" s="471"/>
      <c r="F127" s="471"/>
      <c r="G127" s="471"/>
      <c r="H127" s="471"/>
      <c r="I127" s="471"/>
      <c r="J127" s="388" t="s">
        <v>508</v>
      </c>
      <c r="K127" s="336" t="s">
        <v>99</v>
      </c>
      <c r="L127" s="389">
        <f>SUM('RASHODI ZA VIJEĆE'!E106)</f>
        <v>2259.0500000000002</v>
      </c>
      <c r="M127" s="389">
        <f>SUM('RASHODI ZA VIJEĆE'!F106)</f>
        <v>5043.05</v>
      </c>
      <c r="N127" s="389">
        <f>SUM('RASHODI ZA VIJEĆE'!G106)</f>
        <v>60000</v>
      </c>
      <c r="O127" s="389">
        <f>SUM('RASHODI ZA VIJEĆE'!H106)</f>
        <v>10000</v>
      </c>
      <c r="P127" s="389">
        <f>SUM('RASHODI ZA VIJEĆE'!I106)</f>
        <v>5043.05</v>
      </c>
      <c r="Q127" s="390">
        <f>IFERROR(SUM(P127/L127),0)</f>
        <v>2.2323764414244924</v>
      </c>
      <c r="R127" s="390">
        <f>IFERROR(SUM(P127/M127),0)</f>
        <v>1</v>
      </c>
      <c r="S127" s="390">
        <f>IFERROR(SUM(P127/O127),0)</f>
        <v>0.504305</v>
      </c>
      <c r="T127" s="391"/>
      <c r="U127" s="392"/>
      <c r="V127" s="392"/>
      <c r="W127" s="392"/>
      <c r="X127" s="392"/>
      <c r="Y127" s="392"/>
      <c r="Z127" s="392"/>
      <c r="AA127" s="392"/>
      <c r="AB127" s="392"/>
    </row>
    <row r="128" spans="1:28" s="322" customFormat="1" x14ac:dyDescent="0.3">
      <c r="A128" s="394"/>
      <c r="B128" s="273" t="s">
        <v>818</v>
      </c>
      <c r="C128" s="273"/>
      <c r="D128" s="273"/>
      <c r="E128" s="273"/>
      <c r="F128" s="273"/>
      <c r="G128" s="407"/>
      <c r="H128" s="407"/>
      <c r="I128" s="407"/>
      <c r="J128" s="395"/>
      <c r="L128" s="398"/>
      <c r="M128" s="398"/>
      <c r="N128" s="398"/>
      <c r="O128" s="398"/>
      <c r="P128" s="398"/>
      <c r="Q128" s="399"/>
      <c r="R128" s="399"/>
      <c r="S128" s="399"/>
      <c r="T128" s="396"/>
      <c r="U128" s="357"/>
      <c r="V128" s="357"/>
      <c r="W128" s="357"/>
      <c r="X128" s="357"/>
      <c r="Y128" s="357"/>
      <c r="Z128" s="357"/>
      <c r="AA128" s="357"/>
      <c r="AB128" s="357"/>
    </row>
    <row r="129" spans="1:28" s="322" customFormat="1" x14ac:dyDescent="0.3">
      <c r="A129" s="394"/>
      <c r="B129" s="472">
        <v>3</v>
      </c>
      <c r="C129" s="472"/>
      <c r="D129" s="472"/>
      <c r="E129" s="472"/>
      <c r="F129" s="472"/>
      <c r="G129" s="472"/>
      <c r="H129" s="472"/>
      <c r="I129" s="472"/>
      <c r="J129" s="395"/>
      <c r="K129" s="273" t="s">
        <v>20</v>
      </c>
      <c r="L129" s="379">
        <f>SUM(L130)</f>
        <v>81047.899999999994</v>
      </c>
      <c r="M129" s="379">
        <f>SUM(M130)</f>
        <v>157152.68</v>
      </c>
      <c r="N129" s="379">
        <f>SUM(N130)</f>
        <v>155000</v>
      </c>
      <c r="O129" s="379">
        <f>SUM(O130)</f>
        <v>185000</v>
      </c>
      <c r="P129" s="379">
        <f>SUM(P130)</f>
        <v>157152.68</v>
      </c>
      <c r="Q129" s="380">
        <f t="shared" ref="Q129:Q142" si="24">IFERROR(SUM(P129/L129),0)</f>
        <v>1.9390098941490157</v>
      </c>
      <c r="R129" s="380">
        <f t="shared" ref="R129:R142" si="25">IFERROR(SUM(P129/M129),0)</f>
        <v>1</v>
      </c>
      <c r="S129" s="380">
        <f t="shared" ref="S129:S142" si="26">IFERROR(SUM(P129/O129),0)</f>
        <v>0.84947394594594594</v>
      </c>
      <c r="T129" s="396"/>
      <c r="U129" s="357"/>
      <c r="V129" s="357"/>
      <c r="W129" s="357"/>
      <c r="X129" s="357"/>
      <c r="Y129" s="357"/>
      <c r="Z129" s="357"/>
      <c r="AA129" s="357"/>
      <c r="AB129" s="357"/>
    </row>
    <row r="130" spans="1:28" s="322" customFormat="1" x14ac:dyDescent="0.3">
      <c r="A130" s="394"/>
      <c r="B130" s="472">
        <v>32</v>
      </c>
      <c r="C130" s="472"/>
      <c r="D130" s="472"/>
      <c r="E130" s="472"/>
      <c r="F130" s="472"/>
      <c r="G130" s="472"/>
      <c r="H130" s="472"/>
      <c r="I130" s="472"/>
      <c r="J130" s="395"/>
      <c r="K130" s="273" t="s">
        <v>3</v>
      </c>
      <c r="L130" s="379">
        <f>SUM(L131:L136)</f>
        <v>81047.899999999994</v>
      </c>
      <c r="M130" s="379">
        <f>SUM(M131:M136)</f>
        <v>157152.68</v>
      </c>
      <c r="N130" s="379">
        <f>SUM(N131:N136)</f>
        <v>155000</v>
      </c>
      <c r="O130" s="379">
        <f>SUM(O131:O136)</f>
        <v>185000</v>
      </c>
      <c r="P130" s="379">
        <f>SUM(P131:P136)</f>
        <v>157152.68</v>
      </c>
      <c r="Q130" s="380">
        <f t="shared" si="24"/>
        <v>1.9390098941490157</v>
      </c>
      <c r="R130" s="380">
        <f t="shared" si="25"/>
        <v>1</v>
      </c>
      <c r="S130" s="380">
        <f t="shared" si="26"/>
        <v>0.84947394594594594</v>
      </c>
      <c r="T130" s="396"/>
      <c r="U130" s="357"/>
      <c r="V130" s="357"/>
      <c r="W130" s="357"/>
      <c r="X130" s="357"/>
      <c r="Y130" s="357"/>
      <c r="Z130" s="357"/>
      <c r="AA130" s="357"/>
      <c r="AB130" s="357"/>
    </row>
    <row r="131" spans="1:28" s="336" customFormat="1" x14ac:dyDescent="0.3">
      <c r="A131" s="386">
        <v>63</v>
      </c>
      <c r="B131" s="471">
        <v>323</v>
      </c>
      <c r="C131" s="471"/>
      <c r="D131" s="471"/>
      <c r="E131" s="471"/>
      <c r="F131" s="471"/>
      <c r="G131" s="471"/>
      <c r="H131" s="471"/>
      <c r="I131" s="471"/>
      <c r="J131" s="388" t="s">
        <v>516</v>
      </c>
      <c r="K131" s="336" t="s">
        <v>83</v>
      </c>
      <c r="L131" s="389">
        <f>SUM('RASHODI ZA VIJEĆE'!E133)</f>
        <v>4549.8</v>
      </c>
      <c r="M131" s="389">
        <f>SUM('RASHODI ZA VIJEĆE'!F133)</f>
        <v>8714.19</v>
      </c>
      <c r="N131" s="389">
        <f>SUM('RASHODI ZA VIJEĆE'!G133)</f>
        <v>8000</v>
      </c>
      <c r="O131" s="389">
        <f>SUM('RASHODI ZA VIJEĆE'!H133)</f>
        <v>9000</v>
      </c>
      <c r="P131" s="389">
        <f>SUM('RASHODI ZA VIJEĆE'!I133)</f>
        <v>8714.19</v>
      </c>
      <c r="Q131" s="390">
        <f t="shared" si="24"/>
        <v>1.9152907820123961</v>
      </c>
      <c r="R131" s="390">
        <f t="shared" si="25"/>
        <v>1</v>
      </c>
      <c r="S131" s="390">
        <f t="shared" si="26"/>
        <v>0.96824333333333334</v>
      </c>
      <c r="T131" s="391"/>
      <c r="U131" s="392"/>
      <c r="V131" s="392"/>
      <c r="W131" s="392"/>
      <c r="X131" s="392"/>
      <c r="Y131" s="392"/>
      <c r="Z131" s="392"/>
      <c r="AA131" s="392"/>
      <c r="AB131" s="392"/>
    </row>
    <row r="132" spans="1:28" s="336" customFormat="1" x14ac:dyDescent="0.3">
      <c r="A132" s="386">
        <v>64</v>
      </c>
      <c r="B132" s="471">
        <v>323</v>
      </c>
      <c r="C132" s="471"/>
      <c r="D132" s="471"/>
      <c r="E132" s="471"/>
      <c r="F132" s="471"/>
      <c r="G132" s="471"/>
      <c r="H132" s="471"/>
      <c r="I132" s="471"/>
      <c r="J132" s="388" t="s">
        <v>516</v>
      </c>
      <c r="K132" s="336" t="s">
        <v>84</v>
      </c>
      <c r="L132" s="389">
        <f>SUM('RASHODI ZA VIJEĆE'!E134)</f>
        <v>11875.5</v>
      </c>
      <c r="M132" s="389">
        <f>SUM('RASHODI ZA VIJEĆE'!F134)</f>
        <v>11875.5</v>
      </c>
      <c r="N132" s="389">
        <f>SUM('RASHODI ZA VIJEĆE'!G134)</f>
        <v>13000</v>
      </c>
      <c r="O132" s="389">
        <f>SUM('RASHODI ZA VIJEĆE'!H134)</f>
        <v>33000</v>
      </c>
      <c r="P132" s="389">
        <f>SUM('RASHODI ZA VIJEĆE'!I134)</f>
        <v>11875.5</v>
      </c>
      <c r="Q132" s="390">
        <f t="shared" si="24"/>
        <v>1</v>
      </c>
      <c r="R132" s="390">
        <f t="shared" si="25"/>
        <v>1</v>
      </c>
      <c r="S132" s="390">
        <f t="shared" si="26"/>
        <v>0.35986363636363639</v>
      </c>
      <c r="T132" s="391"/>
      <c r="U132" s="392"/>
      <c r="V132" s="392"/>
      <c r="W132" s="392"/>
      <c r="X132" s="392"/>
      <c r="Y132" s="392"/>
      <c r="Z132" s="392"/>
      <c r="AA132" s="392"/>
      <c r="AB132" s="392"/>
    </row>
    <row r="133" spans="1:28" s="336" customFormat="1" x14ac:dyDescent="0.3">
      <c r="A133" s="386">
        <v>65</v>
      </c>
      <c r="B133" s="471">
        <v>323</v>
      </c>
      <c r="C133" s="471"/>
      <c r="D133" s="471"/>
      <c r="E133" s="471"/>
      <c r="F133" s="471"/>
      <c r="G133" s="471"/>
      <c r="H133" s="471"/>
      <c r="I133" s="471"/>
      <c r="J133" s="388" t="s">
        <v>515</v>
      </c>
      <c r="K133" s="336" t="s">
        <v>82</v>
      </c>
      <c r="L133" s="389">
        <f>SUM('RASHODI ZA VIJEĆE'!E125)</f>
        <v>8317.52</v>
      </c>
      <c r="M133" s="389">
        <f>SUM('RASHODI ZA VIJEĆE'!F125)</f>
        <v>16166.49</v>
      </c>
      <c r="N133" s="389">
        <f>SUM('RASHODI ZA VIJEĆE'!G125)</f>
        <v>13000</v>
      </c>
      <c r="O133" s="389">
        <f>SUM('RASHODI ZA VIJEĆE'!H125)</f>
        <v>15000</v>
      </c>
      <c r="P133" s="389">
        <f>SUM('RASHODI ZA VIJEĆE'!I125)</f>
        <v>16166.49</v>
      </c>
      <c r="Q133" s="390">
        <f t="shared" si="24"/>
        <v>1.9436671026940722</v>
      </c>
      <c r="R133" s="390">
        <f t="shared" si="25"/>
        <v>1</v>
      </c>
      <c r="S133" s="390">
        <f t="shared" si="26"/>
        <v>1.077766</v>
      </c>
      <c r="T133" s="391"/>
      <c r="U133" s="392"/>
      <c r="V133" s="392"/>
      <c r="W133" s="392"/>
      <c r="X133" s="392"/>
      <c r="Y133" s="392"/>
      <c r="Z133" s="392"/>
      <c r="AA133" s="392"/>
      <c r="AB133" s="392"/>
    </row>
    <row r="134" spans="1:28" s="336" customFormat="1" x14ac:dyDescent="0.3">
      <c r="A134" s="386">
        <v>66</v>
      </c>
      <c r="B134" s="471">
        <v>323</v>
      </c>
      <c r="C134" s="471"/>
      <c r="D134" s="471"/>
      <c r="E134" s="471"/>
      <c r="F134" s="471"/>
      <c r="G134" s="471"/>
      <c r="H134" s="471"/>
      <c r="I134" s="471"/>
      <c r="J134" s="388" t="s">
        <v>516</v>
      </c>
      <c r="K134" s="336" t="s">
        <v>56</v>
      </c>
      <c r="L134" s="389">
        <f>SUM('RASHODI ZA VIJEĆE'!E132)</f>
        <v>49337.26</v>
      </c>
      <c r="M134" s="389">
        <f>SUM('RASHODI ZA VIJEĆE'!F132)</f>
        <v>112433.26</v>
      </c>
      <c r="N134" s="389">
        <f>SUM('RASHODI ZA VIJEĆE'!G132)</f>
        <v>100000</v>
      </c>
      <c r="O134" s="389">
        <f>SUM('RASHODI ZA VIJEĆE'!H132)</f>
        <v>120000</v>
      </c>
      <c r="P134" s="389">
        <f>SUM('RASHODI ZA VIJEĆE'!I132)</f>
        <v>112433.26</v>
      </c>
      <c r="Q134" s="390">
        <f t="shared" si="24"/>
        <v>2.2788711817397234</v>
      </c>
      <c r="R134" s="390">
        <f t="shared" si="25"/>
        <v>1</v>
      </c>
      <c r="S134" s="390">
        <f t="shared" si="26"/>
        <v>0.93694383333333331</v>
      </c>
      <c r="T134" s="391"/>
      <c r="U134" s="392"/>
      <c r="V134" s="392"/>
      <c r="W134" s="392"/>
      <c r="X134" s="392"/>
      <c r="Y134" s="392"/>
      <c r="Z134" s="392"/>
      <c r="AA134" s="392"/>
      <c r="AB134" s="392"/>
    </row>
    <row r="135" spans="1:28" s="336" customFormat="1" x14ac:dyDescent="0.3">
      <c r="A135" s="386"/>
      <c r="B135" s="471">
        <v>323</v>
      </c>
      <c r="C135" s="471"/>
      <c r="D135" s="471"/>
      <c r="E135" s="471"/>
      <c r="F135" s="471"/>
      <c r="G135" s="471"/>
      <c r="H135" s="471"/>
      <c r="I135" s="471"/>
      <c r="J135" s="388" t="s">
        <v>517</v>
      </c>
      <c r="K135" s="336" t="s">
        <v>843</v>
      </c>
      <c r="L135" s="389">
        <f>SUM('RASHODI ZA VIJEĆE'!E169)</f>
        <v>0</v>
      </c>
      <c r="M135" s="389">
        <f>SUM('RASHODI ZA VIJEĆE'!F169)</f>
        <v>0</v>
      </c>
      <c r="N135" s="389">
        <f>SUM('RASHODI ZA VIJEĆE'!G169)</f>
        <v>13000</v>
      </c>
      <c r="O135" s="389">
        <f>SUM('RASHODI ZA VIJEĆE'!H169)</f>
        <v>0</v>
      </c>
      <c r="P135" s="389">
        <f>SUM('RASHODI ZA VIJEĆE'!I169)</f>
        <v>0</v>
      </c>
      <c r="Q135" s="390">
        <f t="shared" si="24"/>
        <v>0</v>
      </c>
      <c r="R135" s="390">
        <f t="shared" si="25"/>
        <v>0</v>
      </c>
      <c r="S135" s="390">
        <f t="shared" si="26"/>
        <v>0</v>
      </c>
      <c r="T135" s="391"/>
      <c r="U135" s="392"/>
      <c r="V135" s="392"/>
      <c r="W135" s="392"/>
      <c r="X135" s="392"/>
      <c r="Y135" s="392"/>
      <c r="Z135" s="392"/>
      <c r="AA135" s="392"/>
      <c r="AB135" s="392"/>
    </row>
    <row r="136" spans="1:28" s="336" customFormat="1" x14ac:dyDescent="0.3">
      <c r="A136" s="386">
        <v>67</v>
      </c>
      <c r="B136" s="471">
        <v>323</v>
      </c>
      <c r="C136" s="471"/>
      <c r="D136" s="471"/>
      <c r="E136" s="471"/>
      <c r="F136" s="471"/>
      <c r="G136" s="471"/>
      <c r="H136" s="471"/>
      <c r="I136" s="471"/>
      <c r="J136" s="388" t="s">
        <v>508</v>
      </c>
      <c r="K136" s="336" t="s">
        <v>90</v>
      </c>
      <c r="L136" s="389">
        <f>SUM('RASHODI ZA VIJEĆE'!E130)</f>
        <v>6967.82</v>
      </c>
      <c r="M136" s="389">
        <f>SUM('RASHODI ZA VIJEĆE'!F130)</f>
        <v>7963.24</v>
      </c>
      <c r="N136" s="389">
        <f>SUM('RASHODI ZA VIJEĆE'!G130)</f>
        <v>8000</v>
      </c>
      <c r="O136" s="389">
        <f>SUM('RASHODI ZA VIJEĆE'!H130)</f>
        <v>8000</v>
      </c>
      <c r="P136" s="389">
        <f>SUM('RASHODI ZA VIJEĆE'!I130)</f>
        <v>7963.24</v>
      </c>
      <c r="Q136" s="390">
        <f t="shared" si="24"/>
        <v>1.1428596031470388</v>
      </c>
      <c r="R136" s="390">
        <f t="shared" si="25"/>
        <v>1</v>
      </c>
      <c r="S136" s="390">
        <f t="shared" si="26"/>
        <v>0.99540499999999998</v>
      </c>
      <c r="T136" s="391"/>
      <c r="U136" s="392"/>
      <c r="V136" s="392"/>
      <c r="W136" s="392"/>
      <c r="X136" s="392"/>
      <c r="Y136" s="392"/>
      <c r="Z136" s="392"/>
      <c r="AA136" s="392"/>
      <c r="AB136" s="392"/>
    </row>
    <row r="137" spans="1:28" s="322" customFormat="1" x14ac:dyDescent="0.3">
      <c r="A137" s="394"/>
      <c r="B137" s="273" t="s">
        <v>897</v>
      </c>
      <c r="C137" s="273"/>
      <c r="D137" s="273"/>
      <c r="E137" s="273"/>
      <c r="F137" s="273"/>
      <c r="G137" s="273"/>
      <c r="H137" s="273"/>
      <c r="I137" s="273"/>
      <c r="J137" s="273"/>
      <c r="L137" s="398"/>
      <c r="M137" s="398"/>
      <c r="N137" s="398"/>
      <c r="O137" s="398"/>
      <c r="P137" s="398"/>
      <c r="Q137" s="399">
        <f t="shared" si="24"/>
        <v>0</v>
      </c>
      <c r="R137" s="399">
        <f t="shared" si="25"/>
        <v>0</v>
      </c>
      <c r="S137" s="399">
        <f t="shared" si="26"/>
        <v>0</v>
      </c>
      <c r="T137" s="396"/>
      <c r="U137" s="357"/>
      <c r="V137" s="357"/>
      <c r="W137" s="357"/>
      <c r="X137" s="357"/>
      <c r="Y137" s="357"/>
      <c r="Z137" s="357"/>
      <c r="AA137" s="357"/>
      <c r="AB137" s="357"/>
    </row>
    <row r="138" spans="1:28" s="322" customFormat="1" x14ac:dyDescent="0.3">
      <c r="A138" s="394"/>
      <c r="B138" s="472">
        <v>3</v>
      </c>
      <c r="C138" s="472"/>
      <c r="D138" s="472"/>
      <c r="E138" s="472"/>
      <c r="F138" s="472"/>
      <c r="G138" s="472"/>
      <c r="H138" s="472"/>
      <c r="I138" s="472"/>
      <c r="J138" s="395"/>
      <c r="K138" s="273" t="s">
        <v>20</v>
      </c>
      <c r="L138" s="379">
        <f>SUM(L139)</f>
        <v>0</v>
      </c>
      <c r="M138" s="379">
        <f>SUM(M139)</f>
        <v>34369.620000000003</v>
      </c>
      <c r="N138" s="379">
        <f>SUM(N139)</f>
        <v>55000</v>
      </c>
      <c r="O138" s="379">
        <f>SUM(O139)</f>
        <v>45000</v>
      </c>
      <c r="P138" s="379">
        <f>SUM(P139)</f>
        <v>34369.620000000003</v>
      </c>
      <c r="Q138" s="380">
        <f t="shared" si="24"/>
        <v>0</v>
      </c>
      <c r="R138" s="380">
        <f t="shared" si="25"/>
        <v>1</v>
      </c>
      <c r="S138" s="380">
        <f t="shared" si="26"/>
        <v>0.76376933333333341</v>
      </c>
      <c r="T138" s="396"/>
      <c r="U138" s="357"/>
      <c r="V138" s="357"/>
      <c r="W138" s="357"/>
      <c r="X138" s="357"/>
      <c r="Y138" s="357"/>
      <c r="Z138" s="357"/>
      <c r="AA138" s="357"/>
      <c r="AB138" s="357"/>
    </row>
    <row r="139" spans="1:28" s="322" customFormat="1" x14ac:dyDescent="0.3">
      <c r="A139" s="394"/>
      <c r="B139" s="472">
        <v>32</v>
      </c>
      <c r="C139" s="472"/>
      <c r="D139" s="472"/>
      <c r="E139" s="472"/>
      <c r="F139" s="472"/>
      <c r="G139" s="472"/>
      <c r="H139" s="472"/>
      <c r="I139" s="472"/>
      <c r="J139" s="395"/>
      <c r="K139" s="273" t="s">
        <v>3</v>
      </c>
      <c r="L139" s="379">
        <f>SUM(L140:L142)</f>
        <v>0</v>
      </c>
      <c r="M139" s="379">
        <f>SUM(M140:M142)</f>
        <v>34369.620000000003</v>
      </c>
      <c r="N139" s="379">
        <f>SUM(N140:N142)</f>
        <v>55000</v>
      </c>
      <c r="O139" s="379">
        <f>SUM(O140:O142)</f>
        <v>45000</v>
      </c>
      <c r="P139" s="379">
        <f>SUM(P140:P142)</f>
        <v>34369.620000000003</v>
      </c>
      <c r="Q139" s="380">
        <f t="shared" si="24"/>
        <v>0</v>
      </c>
      <c r="R139" s="380">
        <f t="shared" si="25"/>
        <v>1</v>
      </c>
      <c r="S139" s="380">
        <f t="shared" si="26"/>
        <v>0.76376933333333341</v>
      </c>
      <c r="T139" s="396"/>
      <c r="U139" s="357"/>
      <c r="V139" s="357"/>
      <c r="W139" s="357"/>
      <c r="X139" s="357"/>
      <c r="Y139" s="357"/>
      <c r="Z139" s="357"/>
      <c r="AA139" s="357"/>
      <c r="AB139" s="357"/>
    </row>
    <row r="140" spans="1:28" s="336" customFormat="1" x14ac:dyDescent="0.3">
      <c r="A140" s="386">
        <v>68</v>
      </c>
      <c r="B140" s="471">
        <v>323</v>
      </c>
      <c r="C140" s="471"/>
      <c r="D140" s="471"/>
      <c r="E140" s="471"/>
      <c r="F140" s="471"/>
      <c r="G140" s="471"/>
      <c r="H140" s="471"/>
      <c r="I140" s="471"/>
      <c r="J140" s="388" t="s">
        <v>508</v>
      </c>
      <c r="K140" s="336" t="s">
        <v>98</v>
      </c>
      <c r="L140" s="389">
        <f>SUM('RASHODI ZA VIJEĆE'!E104)</f>
        <v>0</v>
      </c>
      <c r="M140" s="389">
        <f>SUM('RASHODI ZA VIJEĆE'!F104)</f>
        <v>4975.76</v>
      </c>
      <c r="N140" s="389">
        <f>SUM('RASHODI ZA VIJEĆE'!G104)</f>
        <v>40000</v>
      </c>
      <c r="O140" s="389">
        <f>SUM('RASHODI ZA VIJEĆE'!H104)</f>
        <v>5000</v>
      </c>
      <c r="P140" s="389">
        <f>SUM('RASHODI ZA VIJEĆE'!I104)</f>
        <v>4975.76</v>
      </c>
      <c r="Q140" s="390">
        <f t="shared" si="24"/>
        <v>0</v>
      </c>
      <c r="R140" s="390">
        <f t="shared" si="25"/>
        <v>1</v>
      </c>
      <c r="S140" s="390">
        <f t="shared" si="26"/>
        <v>0.99515200000000004</v>
      </c>
      <c r="T140" s="391"/>
      <c r="U140" s="392"/>
      <c r="V140" s="392"/>
      <c r="W140" s="392"/>
      <c r="X140" s="392"/>
      <c r="Y140" s="392"/>
      <c r="Z140" s="392"/>
      <c r="AA140" s="392"/>
      <c r="AB140" s="392"/>
    </row>
    <row r="141" spans="1:28" s="336" customFormat="1" x14ac:dyDescent="0.3">
      <c r="A141" s="386"/>
      <c r="B141" s="471">
        <v>323</v>
      </c>
      <c r="C141" s="471"/>
      <c r="D141" s="471"/>
      <c r="E141" s="471"/>
      <c r="F141" s="471"/>
      <c r="G141" s="471"/>
      <c r="H141" s="471"/>
      <c r="I141" s="471"/>
      <c r="J141" s="388" t="s">
        <v>508</v>
      </c>
      <c r="K141" s="336" t="s">
        <v>981</v>
      </c>
      <c r="L141" s="389">
        <f>SUM('RASHODI ZA VIJEĆE'!E105)</f>
        <v>0</v>
      </c>
      <c r="M141" s="389">
        <f>SUM('RASHODI ZA VIJEĆE'!F105)</f>
        <v>0</v>
      </c>
      <c r="N141" s="389">
        <f>SUM('RASHODI ZA VIJEĆE'!G105)</f>
        <v>15000</v>
      </c>
      <c r="O141" s="389">
        <f>SUM('RASHODI ZA VIJEĆE'!H105)</f>
        <v>0</v>
      </c>
      <c r="P141" s="389">
        <f>SUM('RASHODI ZA VIJEĆE'!I105)</f>
        <v>0</v>
      </c>
      <c r="Q141" s="390">
        <f t="shared" si="24"/>
        <v>0</v>
      </c>
      <c r="R141" s="390">
        <f t="shared" si="25"/>
        <v>0</v>
      </c>
      <c r="S141" s="390">
        <f t="shared" si="26"/>
        <v>0</v>
      </c>
      <c r="T141" s="391"/>
      <c r="U141" s="392"/>
      <c r="V141" s="392"/>
      <c r="W141" s="392"/>
      <c r="X141" s="392"/>
      <c r="Y141" s="392"/>
      <c r="Z141" s="392"/>
      <c r="AA141" s="392"/>
      <c r="AB141" s="392"/>
    </row>
    <row r="142" spans="1:28" s="336" customFormat="1" x14ac:dyDescent="0.3">
      <c r="A142" s="386">
        <v>69</v>
      </c>
      <c r="B142" s="471">
        <v>323</v>
      </c>
      <c r="C142" s="471"/>
      <c r="D142" s="471"/>
      <c r="E142" s="471"/>
      <c r="F142" s="471"/>
      <c r="G142" s="471"/>
      <c r="H142" s="471"/>
      <c r="I142" s="471"/>
      <c r="J142" s="388" t="s">
        <v>508</v>
      </c>
      <c r="K142" s="336" t="s">
        <v>948</v>
      </c>
      <c r="L142" s="389">
        <f>SUM('RASHODI ZA VIJEĆE'!E116)</f>
        <v>0</v>
      </c>
      <c r="M142" s="389">
        <f>SUM('RASHODI ZA VIJEĆE'!F116)</f>
        <v>29393.86</v>
      </c>
      <c r="N142" s="389">
        <f>SUM('RASHODI ZA VIJEĆE'!G116)</f>
        <v>0</v>
      </c>
      <c r="O142" s="389">
        <f>SUM('RASHODI ZA VIJEĆE'!H116)</f>
        <v>40000</v>
      </c>
      <c r="P142" s="389">
        <f>SUM('RASHODI ZA VIJEĆE'!I116)</f>
        <v>29393.86</v>
      </c>
      <c r="Q142" s="390">
        <f t="shared" si="24"/>
        <v>0</v>
      </c>
      <c r="R142" s="390">
        <f t="shared" si="25"/>
        <v>1</v>
      </c>
      <c r="S142" s="390">
        <f t="shared" si="26"/>
        <v>0.73484650000000007</v>
      </c>
      <c r="T142" s="391"/>
      <c r="U142" s="392"/>
      <c r="V142" s="392"/>
      <c r="W142" s="392"/>
      <c r="X142" s="392"/>
      <c r="Y142" s="392"/>
      <c r="Z142" s="392"/>
      <c r="AA142" s="392"/>
      <c r="AB142" s="392"/>
    </row>
    <row r="143" spans="1:28" s="336" customFormat="1" x14ac:dyDescent="0.3">
      <c r="A143" s="386"/>
      <c r="B143" s="387"/>
      <c r="C143" s="387"/>
      <c r="D143" s="387"/>
      <c r="E143" s="387"/>
      <c r="F143" s="387"/>
      <c r="G143" s="387"/>
      <c r="H143" s="387"/>
      <c r="I143" s="387"/>
      <c r="J143" s="388"/>
      <c r="L143" s="389"/>
      <c r="M143" s="389"/>
      <c r="N143" s="389"/>
      <c r="O143" s="389"/>
      <c r="P143" s="389"/>
      <c r="Q143" s="390"/>
      <c r="R143" s="390"/>
      <c r="S143" s="390"/>
      <c r="T143" s="391"/>
      <c r="U143" s="392"/>
      <c r="V143" s="392"/>
      <c r="W143" s="392"/>
      <c r="X143" s="392"/>
      <c r="Y143" s="392"/>
      <c r="Z143" s="392"/>
      <c r="AA143" s="392"/>
      <c r="AB143" s="392"/>
    </row>
    <row r="144" spans="1:28" s="374" customFormat="1" ht="21" thickBot="1" x14ac:dyDescent="0.35">
      <c r="A144" s="400"/>
      <c r="B144" s="376"/>
      <c r="C144" s="376"/>
      <c r="D144" s="376">
        <v>3</v>
      </c>
      <c r="E144" s="376"/>
      <c r="F144" s="376"/>
      <c r="G144" s="376"/>
      <c r="H144" s="376"/>
      <c r="I144" s="355" t="s">
        <v>1095</v>
      </c>
      <c r="J144" s="401"/>
      <c r="K144" s="355"/>
      <c r="L144" s="403">
        <f>SUM(L146)</f>
        <v>24367.34</v>
      </c>
      <c r="M144" s="403">
        <f>SUM(M146)</f>
        <v>56242.15</v>
      </c>
      <c r="N144" s="403">
        <f>SUM(N146)</f>
        <v>87500</v>
      </c>
      <c r="O144" s="403">
        <f>SUM(O146)</f>
        <v>97000</v>
      </c>
      <c r="P144" s="403">
        <f>SUM(P146)</f>
        <v>56242.15</v>
      </c>
      <c r="Q144" s="404">
        <f>IFERROR(SUM(P144/L144),0)</f>
        <v>2.3080955902449753</v>
      </c>
      <c r="R144" s="404">
        <f>IFERROR(SUM(P144/M144),0)</f>
        <v>1</v>
      </c>
      <c r="S144" s="404">
        <f>IFERROR(SUM(P144/O144),0)</f>
        <v>0.57981597938144336</v>
      </c>
      <c r="T144" s="375"/>
      <c r="U144" s="373"/>
      <c r="V144" s="373"/>
      <c r="W144" s="373"/>
      <c r="X144" s="373"/>
      <c r="Y144" s="373"/>
      <c r="Z144" s="373"/>
      <c r="AA144" s="373"/>
      <c r="AB144" s="373"/>
    </row>
    <row r="145" spans="1:28" s="409" customFormat="1" ht="21.75" thickTop="1" x14ac:dyDescent="0.35">
      <c r="A145" s="408"/>
      <c r="B145" s="472" t="s">
        <v>835</v>
      </c>
      <c r="C145" s="472"/>
      <c r="D145" s="472"/>
      <c r="E145" s="472"/>
      <c r="F145" s="472"/>
      <c r="G145" s="472"/>
      <c r="H145" s="472"/>
      <c r="I145" s="472"/>
      <c r="J145" s="472"/>
      <c r="K145" s="472"/>
      <c r="Q145" s="380"/>
      <c r="R145" s="380"/>
      <c r="S145" s="380"/>
    </row>
    <row r="146" spans="1:28" s="409" customFormat="1" ht="21" x14ac:dyDescent="0.35">
      <c r="A146" s="408"/>
      <c r="B146" s="472">
        <v>3</v>
      </c>
      <c r="C146" s="472"/>
      <c r="D146" s="472"/>
      <c r="E146" s="472"/>
      <c r="F146" s="472"/>
      <c r="G146" s="472"/>
      <c r="H146" s="472"/>
      <c r="I146" s="472"/>
      <c r="K146" s="273" t="s">
        <v>20</v>
      </c>
      <c r="L146" s="379">
        <f>SUM(L147)</f>
        <v>24367.34</v>
      </c>
      <c r="M146" s="379">
        <f>SUM(M147)</f>
        <v>56242.15</v>
      </c>
      <c r="N146" s="379">
        <f>SUM(N147)</f>
        <v>87500</v>
      </c>
      <c r="O146" s="379">
        <f>SUM(O147)</f>
        <v>97000</v>
      </c>
      <c r="P146" s="379">
        <f>SUM(P147)</f>
        <v>56242.15</v>
      </c>
      <c r="Q146" s="380">
        <f t="shared" ref="Q146:Q153" si="27">IFERROR(SUM(P146/L146),0)</f>
        <v>2.3080955902449753</v>
      </c>
      <c r="R146" s="380">
        <f t="shared" ref="R146:R153" si="28">IFERROR(SUM(P146/M146),0)</f>
        <v>1</v>
      </c>
      <c r="S146" s="380">
        <f t="shared" ref="S146:S153" si="29">IFERROR(SUM(P146/O146),0)</f>
        <v>0.57981597938144336</v>
      </c>
    </row>
    <row r="147" spans="1:28" s="409" customFormat="1" ht="21" x14ac:dyDescent="0.35">
      <c r="A147" s="408"/>
      <c r="B147" s="472">
        <v>32</v>
      </c>
      <c r="C147" s="472"/>
      <c r="D147" s="472"/>
      <c r="E147" s="472"/>
      <c r="F147" s="472"/>
      <c r="G147" s="472"/>
      <c r="H147" s="472"/>
      <c r="I147" s="472"/>
      <c r="K147" s="273" t="s">
        <v>3</v>
      </c>
      <c r="L147" s="379">
        <f>SUM(L148:L153)</f>
        <v>24367.34</v>
      </c>
      <c r="M147" s="379">
        <f>SUM(M148:M153)</f>
        <v>56242.15</v>
      </c>
      <c r="N147" s="379">
        <f>SUM(N148:N153)</f>
        <v>87500</v>
      </c>
      <c r="O147" s="379">
        <f>SUM(O148:O153)</f>
        <v>97000</v>
      </c>
      <c r="P147" s="379">
        <f>SUM(P148:P153)</f>
        <v>56242.15</v>
      </c>
      <c r="Q147" s="380">
        <f t="shared" si="27"/>
        <v>2.3080955902449753</v>
      </c>
      <c r="R147" s="380">
        <f t="shared" si="28"/>
        <v>1</v>
      </c>
      <c r="S147" s="380">
        <f t="shared" si="29"/>
        <v>0.57981597938144336</v>
      </c>
    </row>
    <row r="148" spans="1:28" s="336" customFormat="1" x14ac:dyDescent="0.3">
      <c r="A148" s="386">
        <v>70</v>
      </c>
      <c r="B148" s="471">
        <v>323</v>
      </c>
      <c r="C148" s="471"/>
      <c r="D148" s="471"/>
      <c r="E148" s="471"/>
      <c r="F148" s="471"/>
      <c r="G148" s="471"/>
      <c r="H148" s="471"/>
      <c r="I148" s="471"/>
      <c r="J148" s="388" t="s">
        <v>508</v>
      </c>
      <c r="K148" s="336" t="s">
        <v>101</v>
      </c>
      <c r="L148" s="389">
        <f>SUM('RASHODI ZA VIJEĆE'!E113)</f>
        <v>3825</v>
      </c>
      <c r="M148" s="389">
        <f>SUM('RASHODI ZA VIJEĆE'!F113)</f>
        <v>12225</v>
      </c>
      <c r="N148" s="389">
        <f>SUM('RASHODI ZA VIJEĆE'!G113)</f>
        <v>40000</v>
      </c>
      <c r="O148" s="389">
        <f>SUM('RASHODI ZA VIJEĆE'!H113)</f>
        <v>40000</v>
      </c>
      <c r="P148" s="389">
        <f>SUM('RASHODI ZA VIJEĆE'!I113)</f>
        <v>12225</v>
      </c>
      <c r="Q148" s="390">
        <f t="shared" si="27"/>
        <v>3.1960784313725492</v>
      </c>
      <c r="R148" s="390">
        <f t="shared" si="28"/>
        <v>1</v>
      </c>
      <c r="S148" s="390">
        <f t="shared" si="29"/>
        <v>0.30562499999999998</v>
      </c>
      <c r="T148" s="391">
        <v>116</v>
      </c>
      <c r="U148" s="392"/>
      <c r="V148" s="392"/>
      <c r="W148" s="392"/>
      <c r="X148" s="392"/>
      <c r="Y148" s="392"/>
      <c r="Z148" s="392"/>
      <c r="AA148" s="392"/>
      <c r="AB148" s="392"/>
    </row>
    <row r="149" spans="1:28" s="336" customFormat="1" x14ac:dyDescent="0.3">
      <c r="A149" s="386">
        <v>71</v>
      </c>
      <c r="B149" s="471">
        <v>323</v>
      </c>
      <c r="C149" s="471"/>
      <c r="D149" s="471"/>
      <c r="E149" s="471"/>
      <c r="F149" s="471"/>
      <c r="G149" s="471"/>
      <c r="H149" s="471"/>
      <c r="I149" s="471"/>
      <c r="J149" s="388" t="s">
        <v>508</v>
      </c>
      <c r="K149" s="336" t="s">
        <v>434</v>
      </c>
      <c r="L149" s="389">
        <f>SUM('RASHODI ZA VIJEĆE'!E115)</f>
        <v>5250</v>
      </c>
      <c r="M149" s="389">
        <f>SUM('RASHODI ZA VIJEĆE'!F115)</f>
        <v>5250</v>
      </c>
      <c r="N149" s="389">
        <f>SUM('RASHODI ZA VIJEĆE'!G115)</f>
        <v>15000</v>
      </c>
      <c r="O149" s="389">
        <f>SUM('RASHODI ZA VIJEĆE'!H115)</f>
        <v>15000</v>
      </c>
      <c r="P149" s="389">
        <f>SUM('RASHODI ZA VIJEĆE'!I115)</f>
        <v>5250</v>
      </c>
      <c r="Q149" s="390">
        <f t="shared" si="27"/>
        <v>1</v>
      </c>
      <c r="R149" s="390">
        <f t="shared" si="28"/>
        <v>1</v>
      </c>
      <c r="S149" s="390">
        <f t="shared" si="29"/>
        <v>0.35</v>
      </c>
      <c r="T149" s="391">
        <v>117</v>
      </c>
      <c r="U149" s="392"/>
      <c r="V149" s="392"/>
      <c r="W149" s="392"/>
      <c r="X149" s="392"/>
      <c r="Y149" s="392"/>
      <c r="Z149" s="392"/>
      <c r="AA149" s="392"/>
      <c r="AB149" s="392"/>
    </row>
    <row r="150" spans="1:28" s="336" customFormat="1" x14ac:dyDescent="0.3">
      <c r="A150" s="386">
        <v>72</v>
      </c>
      <c r="B150" s="471">
        <v>323</v>
      </c>
      <c r="C150" s="471"/>
      <c r="D150" s="471"/>
      <c r="E150" s="471"/>
      <c r="F150" s="471"/>
      <c r="G150" s="471"/>
      <c r="H150" s="471"/>
      <c r="I150" s="471"/>
      <c r="J150" s="388" t="s">
        <v>515</v>
      </c>
      <c r="K150" s="336" t="s">
        <v>542</v>
      </c>
      <c r="L150" s="389">
        <f>SUM('RASHODI ZA VIJEĆE'!E135)</f>
        <v>8100</v>
      </c>
      <c r="M150" s="389">
        <f>SUM('RASHODI ZA VIJEĆE'!F135)</f>
        <v>19350</v>
      </c>
      <c r="N150" s="389">
        <f>SUM('RASHODI ZA VIJEĆE'!G135)</f>
        <v>13000</v>
      </c>
      <c r="O150" s="389">
        <f>SUM('RASHODI ZA VIJEĆE'!H135)</f>
        <v>23000</v>
      </c>
      <c r="P150" s="389">
        <f>SUM('RASHODI ZA VIJEĆE'!I135)</f>
        <v>19350</v>
      </c>
      <c r="Q150" s="390">
        <f t="shared" si="27"/>
        <v>2.3888888888888888</v>
      </c>
      <c r="R150" s="390">
        <f t="shared" si="28"/>
        <v>1</v>
      </c>
      <c r="S150" s="390">
        <f t="shared" si="29"/>
        <v>0.84130434782608698</v>
      </c>
      <c r="T150" s="391"/>
      <c r="U150" s="392"/>
      <c r="V150" s="392"/>
      <c r="W150" s="392"/>
      <c r="X150" s="392"/>
      <c r="Y150" s="392"/>
      <c r="Z150" s="392"/>
      <c r="AA150" s="392"/>
      <c r="AB150" s="392"/>
    </row>
    <row r="151" spans="1:28" s="336" customFormat="1" x14ac:dyDescent="0.3">
      <c r="A151" s="386">
        <v>73</v>
      </c>
      <c r="B151" s="471">
        <v>323</v>
      </c>
      <c r="C151" s="471"/>
      <c r="D151" s="471"/>
      <c r="E151" s="471"/>
      <c r="F151" s="471"/>
      <c r="G151" s="471"/>
      <c r="H151" s="471"/>
      <c r="I151" s="471"/>
      <c r="J151" s="388" t="s">
        <v>508</v>
      </c>
      <c r="K151" s="336" t="s">
        <v>949</v>
      </c>
      <c r="L151" s="389">
        <f>SUM('RASHODI ZA VIJEĆE'!E129)</f>
        <v>7192.34</v>
      </c>
      <c r="M151" s="389">
        <f>SUM('RASHODI ZA VIJEĆE'!F129)</f>
        <v>17927.77</v>
      </c>
      <c r="N151" s="389">
        <f>SUM('RASHODI ZA VIJEĆE'!G129)</f>
        <v>13000</v>
      </c>
      <c r="O151" s="389">
        <f>SUM('RASHODI ZA VIJEĆE'!H129)</f>
        <v>17000</v>
      </c>
      <c r="P151" s="389">
        <f>SUM('RASHODI ZA VIJEĆE'!I129)</f>
        <v>17927.77</v>
      </c>
      <c r="Q151" s="390">
        <f t="shared" si="27"/>
        <v>2.4926199261992621</v>
      </c>
      <c r="R151" s="390">
        <f t="shared" si="28"/>
        <v>1</v>
      </c>
      <c r="S151" s="390">
        <f t="shared" si="29"/>
        <v>1.0545747058823529</v>
      </c>
      <c r="T151" s="391"/>
      <c r="U151" s="392"/>
      <c r="V151" s="392"/>
      <c r="W151" s="392"/>
      <c r="X151" s="392"/>
      <c r="Y151" s="392"/>
      <c r="Z151" s="392"/>
      <c r="AA151" s="392"/>
      <c r="AB151" s="392"/>
    </row>
    <row r="152" spans="1:28" s="336" customFormat="1" x14ac:dyDescent="0.3">
      <c r="A152" s="386">
        <v>74</v>
      </c>
      <c r="B152" s="471">
        <v>323</v>
      </c>
      <c r="C152" s="471"/>
      <c r="D152" s="471"/>
      <c r="E152" s="471"/>
      <c r="F152" s="471"/>
      <c r="G152" s="471"/>
      <c r="H152" s="471"/>
      <c r="I152" s="471"/>
      <c r="J152" s="388" t="s">
        <v>508</v>
      </c>
      <c r="K152" s="336" t="s">
        <v>962</v>
      </c>
      <c r="L152" s="389">
        <f>SUM('RASHODI ZA VIJEĆE'!E114)</f>
        <v>0</v>
      </c>
      <c r="M152" s="389">
        <f>SUM('RASHODI ZA VIJEĆE'!F114)</f>
        <v>1489.38</v>
      </c>
      <c r="N152" s="389">
        <f>SUM('RASHODI ZA VIJEĆE'!G114)</f>
        <v>0</v>
      </c>
      <c r="O152" s="389">
        <f>SUM('RASHODI ZA VIJEĆE'!H114)</f>
        <v>2000</v>
      </c>
      <c r="P152" s="389">
        <f>SUM('RASHODI ZA VIJEĆE'!I114)</f>
        <v>1489.38</v>
      </c>
      <c r="Q152" s="390">
        <f t="shared" si="27"/>
        <v>0</v>
      </c>
      <c r="R152" s="390">
        <f t="shared" si="28"/>
        <v>1</v>
      </c>
      <c r="S152" s="390">
        <f t="shared" si="29"/>
        <v>0.74469000000000007</v>
      </c>
      <c r="T152" s="391"/>
      <c r="U152" s="392"/>
      <c r="V152" s="392"/>
      <c r="W152" s="392"/>
      <c r="X152" s="392"/>
      <c r="Y152" s="392"/>
      <c r="Z152" s="392"/>
      <c r="AA152" s="392"/>
      <c r="AB152" s="392"/>
    </row>
    <row r="153" spans="1:28" s="336" customFormat="1" x14ac:dyDescent="0.3">
      <c r="A153" s="386">
        <v>75</v>
      </c>
      <c r="B153" s="471">
        <v>383</v>
      </c>
      <c r="C153" s="471"/>
      <c r="D153" s="471"/>
      <c r="E153" s="471"/>
      <c r="F153" s="471"/>
      <c r="G153" s="471"/>
      <c r="H153" s="471"/>
      <c r="I153" s="471"/>
      <c r="J153" s="388" t="s">
        <v>525</v>
      </c>
      <c r="K153" s="336" t="s">
        <v>379</v>
      </c>
      <c r="L153" s="389">
        <f>SUM('RASHODI ZA VIJEĆE'!E334)</f>
        <v>0</v>
      </c>
      <c r="M153" s="389">
        <f>SUM('RASHODI ZA VIJEĆE'!F334)</f>
        <v>0</v>
      </c>
      <c r="N153" s="389">
        <f>SUM('RASHODI ZA VIJEĆE'!G334)</f>
        <v>6500</v>
      </c>
      <c r="O153" s="389">
        <f>SUM('RASHODI ZA VIJEĆE'!H334)</f>
        <v>0</v>
      </c>
      <c r="P153" s="389">
        <f>SUM('RASHODI ZA VIJEĆE'!I334)</f>
        <v>0</v>
      </c>
      <c r="Q153" s="390">
        <f t="shared" si="27"/>
        <v>0</v>
      </c>
      <c r="R153" s="390">
        <f t="shared" si="28"/>
        <v>0</v>
      </c>
      <c r="S153" s="390">
        <f t="shared" si="29"/>
        <v>0</v>
      </c>
      <c r="T153" s="391">
        <v>305</v>
      </c>
      <c r="U153" s="392"/>
      <c r="V153" s="392"/>
      <c r="W153" s="392"/>
      <c r="X153" s="392"/>
      <c r="Y153" s="392"/>
      <c r="Z153" s="392"/>
      <c r="AA153" s="392"/>
      <c r="AB153" s="392"/>
    </row>
    <row r="154" spans="1:28" s="336" customFormat="1" x14ac:dyDescent="0.3">
      <c r="A154" s="386"/>
      <c r="B154" s="387"/>
      <c r="C154" s="387"/>
      <c r="D154" s="387"/>
      <c r="E154" s="387"/>
      <c r="F154" s="387"/>
      <c r="G154" s="387"/>
      <c r="H154" s="387"/>
      <c r="I154" s="387"/>
      <c r="J154" s="388"/>
      <c r="L154" s="389"/>
      <c r="M154" s="389"/>
      <c r="N154" s="389"/>
      <c r="O154" s="389"/>
      <c r="P154" s="389"/>
      <c r="Q154" s="390"/>
      <c r="R154" s="390"/>
      <c r="S154" s="390"/>
      <c r="T154" s="391"/>
      <c r="U154" s="392"/>
      <c r="V154" s="392"/>
      <c r="W154" s="392"/>
      <c r="X154" s="392"/>
      <c r="Y154" s="392"/>
      <c r="Z154" s="392"/>
      <c r="AA154" s="392"/>
      <c r="AB154" s="392"/>
    </row>
    <row r="155" spans="1:28" s="374" customFormat="1" ht="21" thickBot="1" x14ac:dyDescent="0.35">
      <c r="A155" s="400"/>
      <c r="B155" s="376">
        <v>1</v>
      </c>
      <c r="C155" s="376"/>
      <c r="D155" s="376"/>
      <c r="E155" s="376">
        <v>4</v>
      </c>
      <c r="F155" s="376"/>
      <c r="G155" s="376"/>
      <c r="H155" s="376"/>
      <c r="I155" s="355" t="s">
        <v>1096</v>
      </c>
      <c r="J155" s="401"/>
      <c r="K155" s="355"/>
      <c r="L155" s="403">
        <f>SUM(L157+L160)</f>
        <v>7050</v>
      </c>
      <c r="M155" s="403">
        <f>SUM(M157+M160)</f>
        <v>17556.23</v>
      </c>
      <c r="N155" s="403">
        <f>SUM(N157+N160)</f>
        <v>15000</v>
      </c>
      <c r="O155" s="403">
        <f>SUM(O157+O160)</f>
        <v>21900</v>
      </c>
      <c r="P155" s="403">
        <f>SUM(P157+P160)</f>
        <v>17556.23</v>
      </c>
      <c r="Q155" s="404">
        <f>IFERROR(SUM(P155/L155),0)</f>
        <v>2.490245390070922</v>
      </c>
      <c r="R155" s="404">
        <f>IFERROR(SUM(P155/M155),0)</f>
        <v>1</v>
      </c>
      <c r="S155" s="404">
        <f>IFERROR(SUM(P155/O155),0)</f>
        <v>0.80165433789954332</v>
      </c>
      <c r="T155" s="375"/>
      <c r="U155" s="373"/>
      <c r="V155" s="373"/>
      <c r="W155" s="373"/>
      <c r="X155" s="373"/>
      <c r="Y155" s="373"/>
      <c r="Z155" s="373"/>
      <c r="AA155" s="373"/>
      <c r="AB155" s="373"/>
    </row>
    <row r="156" spans="1:28" s="273" customFormat="1" ht="21" thickTop="1" x14ac:dyDescent="0.3">
      <c r="A156" s="377"/>
      <c r="B156" s="472" t="s">
        <v>820</v>
      </c>
      <c r="C156" s="472"/>
      <c r="D156" s="472"/>
      <c r="E156" s="472"/>
      <c r="F156" s="472"/>
      <c r="G156" s="472"/>
      <c r="H156" s="472"/>
      <c r="I156" s="472"/>
      <c r="J156" s="472"/>
      <c r="K156" s="472"/>
      <c r="L156" s="379"/>
      <c r="M156" s="379"/>
      <c r="N156" s="379"/>
      <c r="O156" s="379"/>
      <c r="P156" s="379"/>
      <c r="Q156" s="399"/>
      <c r="R156" s="399"/>
      <c r="S156" s="399"/>
      <c r="T156" s="381"/>
      <c r="U156" s="383"/>
      <c r="V156" s="383"/>
      <c r="W156" s="383"/>
      <c r="X156" s="383"/>
      <c r="Y156" s="383"/>
      <c r="Z156" s="383"/>
      <c r="AA156" s="383"/>
      <c r="AB156" s="383"/>
    </row>
    <row r="157" spans="1:28" s="322" customFormat="1" x14ac:dyDescent="0.3">
      <c r="A157" s="394"/>
      <c r="B157" s="472">
        <v>38</v>
      </c>
      <c r="C157" s="472"/>
      <c r="D157" s="472"/>
      <c r="E157" s="472"/>
      <c r="F157" s="472"/>
      <c r="G157" s="472"/>
      <c r="H157" s="472"/>
      <c r="I157" s="472"/>
      <c r="J157" s="395"/>
      <c r="K157" s="273" t="s">
        <v>22</v>
      </c>
      <c r="L157" s="379">
        <f>SUM(L158)</f>
        <v>5585</v>
      </c>
      <c r="M157" s="379">
        <f>SUM(M158)</f>
        <v>10580</v>
      </c>
      <c r="N157" s="379">
        <f>SUM(N158)</f>
        <v>10500</v>
      </c>
      <c r="O157" s="379">
        <f>SUM(O158)</f>
        <v>12500</v>
      </c>
      <c r="P157" s="379">
        <f>SUM(P158)</f>
        <v>10580</v>
      </c>
      <c r="Q157" s="380">
        <f>IFERROR(SUM(P157/L157),0)</f>
        <v>1.8943598925693823</v>
      </c>
      <c r="R157" s="380">
        <f>IFERROR(SUM(P157/M157),0)</f>
        <v>1</v>
      </c>
      <c r="S157" s="380">
        <f>IFERROR(SUM(P157/O157),0)</f>
        <v>0.84640000000000004</v>
      </c>
      <c r="T157" s="381"/>
      <c r="U157" s="357"/>
      <c r="V157" s="357"/>
      <c r="W157" s="357"/>
      <c r="X157" s="357"/>
      <c r="Y157" s="357"/>
      <c r="Z157" s="357"/>
      <c r="AA157" s="357"/>
      <c r="AB157" s="357"/>
    </row>
    <row r="158" spans="1:28" s="336" customFormat="1" x14ac:dyDescent="0.3">
      <c r="A158" s="386">
        <v>76</v>
      </c>
      <c r="B158" s="471">
        <v>381</v>
      </c>
      <c r="C158" s="471"/>
      <c r="D158" s="471"/>
      <c r="E158" s="471"/>
      <c r="F158" s="471"/>
      <c r="G158" s="471"/>
      <c r="H158" s="471"/>
      <c r="I158" s="471"/>
      <c r="J158" s="388" t="s">
        <v>519</v>
      </c>
      <c r="K158" s="336" t="s">
        <v>10</v>
      </c>
      <c r="L158" s="389">
        <f>SUM('RASHODI ZA VIJEĆE'!E320+'RASHODI ZA VIJEĆE'!E321+'RASHODI ZA VIJEĆE'!E322+'RASHODI ZA VIJEĆE'!E323+'RASHODI ZA VIJEĆE'!E324+'RASHODI ZA VIJEĆE'!E325)</f>
        <v>5585</v>
      </c>
      <c r="M158" s="389">
        <f>SUM('RASHODI ZA VIJEĆE'!F320+'RASHODI ZA VIJEĆE'!F321+'RASHODI ZA VIJEĆE'!F322+'RASHODI ZA VIJEĆE'!F323+'RASHODI ZA VIJEĆE'!F324+'RASHODI ZA VIJEĆE'!F325)</f>
        <v>10580</v>
      </c>
      <c r="N158" s="389">
        <f>SUM('RASHODI ZA VIJEĆE'!G320+'RASHODI ZA VIJEĆE'!G321+'RASHODI ZA VIJEĆE'!G322+'RASHODI ZA VIJEĆE'!G323+'RASHODI ZA VIJEĆE'!G324+'RASHODI ZA VIJEĆE'!G325)</f>
        <v>10500</v>
      </c>
      <c r="O158" s="389">
        <f>SUM('RASHODI ZA VIJEĆE'!H320+'RASHODI ZA VIJEĆE'!H321+'RASHODI ZA VIJEĆE'!H322+'RASHODI ZA VIJEĆE'!H323+'RASHODI ZA VIJEĆE'!H324+'RASHODI ZA VIJEĆE'!H325)</f>
        <v>12500</v>
      </c>
      <c r="P158" s="389">
        <f>SUM('RASHODI ZA VIJEĆE'!I320+'RASHODI ZA VIJEĆE'!I321+'RASHODI ZA VIJEĆE'!I322+'RASHODI ZA VIJEĆE'!I323+'RASHODI ZA VIJEĆE'!I324+'RASHODI ZA VIJEĆE'!I325)</f>
        <v>10580</v>
      </c>
      <c r="Q158" s="390">
        <f>IFERROR(SUM(P158/L158),0)</f>
        <v>1.8943598925693823</v>
      </c>
      <c r="R158" s="390">
        <f>IFERROR(SUM(P158/M158),0)</f>
        <v>1</v>
      </c>
      <c r="S158" s="390">
        <f>IFERROR(SUM(P158/O158),0)</f>
        <v>0.84640000000000004</v>
      </c>
      <c r="T158" s="391">
        <v>292</v>
      </c>
      <c r="U158" s="392"/>
      <c r="V158" s="392"/>
      <c r="W158" s="392"/>
      <c r="X158" s="392"/>
      <c r="Y158" s="392"/>
      <c r="Z158" s="392"/>
      <c r="AA158" s="392"/>
      <c r="AB158" s="392"/>
    </row>
    <row r="159" spans="1:28" s="273" customFormat="1" x14ac:dyDescent="0.3">
      <c r="A159" s="377"/>
      <c r="B159" s="472" t="s">
        <v>821</v>
      </c>
      <c r="C159" s="472"/>
      <c r="D159" s="472"/>
      <c r="E159" s="472"/>
      <c r="F159" s="472"/>
      <c r="G159" s="472"/>
      <c r="H159" s="472"/>
      <c r="I159" s="472"/>
      <c r="J159" s="472"/>
      <c r="K159" s="472"/>
      <c r="L159" s="379"/>
      <c r="M159" s="379"/>
      <c r="N159" s="379"/>
      <c r="O159" s="379"/>
      <c r="P159" s="379"/>
      <c r="Q159" s="380"/>
      <c r="R159" s="380"/>
      <c r="S159" s="380"/>
      <c r="T159" s="381"/>
      <c r="U159" s="383"/>
      <c r="V159" s="383"/>
      <c r="W159" s="383"/>
      <c r="X159" s="383"/>
      <c r="Y159" s="383"/>
      <c r="Z159" s="383"/>
      <c r="AA159" s="383"/>
      <c r="AB159" s="383"/>
    </row>
    <row r="160" spans="1:28" s="322" customFormat="1" x14ac:dyDescent="0.3">
      <c r="A160" s="394"/>
      <c r="B160" s="472">
        <v>3</v>
      </c>
      <c r="C160" s="472"/>
      <c r="D160" s="472"/>
      <c r="E160" s="472"/>
      <c r="F160" s="472"/>
      <c r="G160" s="472"/>
      <c r="H160" s="472"/>
      <c r="I160" s="472"/>
      <c r="J160" s="395"/>
      <c r="K160" s="273" t="s">
        <v>20</v>
      </c>
      <c r="L160" s="379">
        <f>SUM(L161+L164)</f>
        <v>1465</v>
      </c>
      <c r="M160" s="379">
        <f>SUM(M161+M164)</f>
        <v>6976.23</v>
      </c>
      <c r="N160" s="379">
        <f>SUM(N161+N164)</f>
        <v>4500</v>
      </c>
      <c r="O160" s="379">
        <f>SUM(O161+O164)</f>
        <v>9400</v>
      </c>
      <c r="P160" s="379">
        <f>SUM(P161+P164)</f>
        <v>6976.23</v>
      </c>
      <c r="Q160" s="380">
        <f t="shared" ref="Q160:Q165" si="30">IFERROR(SUM(P160/L160),0)</f>
        <v>4.761931740614334</v>
      </c>
      <c r="R160" s="380">
        <f t="shared" ref="R160:R165" si="31">IFERROR(SUM(P160/M160),0)</f>
        <v>1</v>
      </c>
      <c r="S160" s="380">
        <f t="shared" ref="S160:S165" si="32">IFERROR(SUM(P160/O160),0)</f>
        <v>0.74215212765957439</v>
      </c>
      <c r="T160" s="381"/>
      <c r="U160" s="357"/>
      <c r="V160" s="357"/>
      <c r="W160" s="357"/>
      <c r="X160" s="357"/>
      <c r="Y160" s="357"/>
      <c r="Z160" s="357"/>
      <c r="AA160" s="357"/>
      <c r="AB160" s="357"/>
    </row>
    <row r="161" spans="1:28" s="322" customFormat="1" x14ac:dyDescent="0.3">
      <c r="A161" s="394"/>
      <c r="B161" s="472">
        <v>32</v>
      </c>
      <c r="C161" s="472"/>
      <c r="D161" s="472"/>
      <c r="E161" s="472"/>
      <c r="F161" s="472"/>
      <c r="G161" s="472"/>
      <c r="H161" s="472"/>
      <c r="I161" s="472"/>
      <c r="J161" s="395"/>
      <c r="K161" s="273" t="s">
        <v>3</v>
      </c>
      <c r="L161" s="379">
        <f>SUM(L162:L163)</f>
        <v>1465</v>
      </c>
      <c r="M161" s="379">
        <f>SUM(M162:M163)</f>
        <v>6976.23</v>
      </c>
      <c r="N161" s="379">
        <f>SUM(N162:N163)</f>
        <v>4500</v>
      </c>
      <c r="O161" s="379">
        <f>SUM(O162:O163)</f>
        <v>9400</v>
      </c>
      <c r="P161" s="379">
        <f>SUM(P162:P163)</f>
        <v>6976.23</v>
      </c>
      <c r="Q161" s="380">
        <f t="shared" si="30"/>
        <v>4.761931740614334</v>
      </c>
      <c r="R161" s="380">
        <f t="shared" si="31"/>
        <v>1</v>
      </c>
      <c r="S161" s="380">
        <f t="shared" si="32"/>
        <v>0.74215212765957439</v>
      </c>
      <c r="T161" s="381"/>
      <c r="U161" s="357"/>
      <c r="V161" s="357"/>
      <c r="W161" s="357"/>
      <c r="X161" s="357"/>
      <c r="Y161" s="357"/>
      <c r="Z161" s="357"/>
      <c r="AA161" s="357"/>
      <c r="AB161" s="357"/>
    </row>
    <row r="162" spans="1:28" s="336" customFormat="1" x14ac:dyDescent="0.3">
      <c r="A162" s="386">
        <v>77</v>
      </c>
      <c r="B162" s="471">
        <v>323</v>
      </c>
      <c r="C162" s="471"/>
      <c r="D162" s="471"/>
      <c r="E162" s="471"/>
      <c r="F162" s="471"/>
      <c r="G162" s="471"/>
      <c r="H162" s="471"/>
      <c r="I162" s="471"/>
      <c r="J162" s="388" t="s">
        <v>510</v>
      </c>
      <c r="K162" s="336" t="s">
        <v>796</v>
      </c>
      <c r="L162" s="389">
        <f>SUM('RASHODI ZA VIJEĆE'!E167)</f>
        <v>0</v>
      </c>
      <c r="M162" s="389">
        <f>SUM('RASHODI ZA VIJEĆE'!F167)</f>
        <v>1327.23</v>
      </c>
      <c r="N162" s="389">
        <f>SUM('RASHODI ZA VIJEĆE'!G167)</f>
        <v>1500</v>
      </c>
      <c r="O162" s="389">
        <f>SUM('RASHODI ZA VIJEĆE'!H167)</f>
        <v>1400</v>
      </c>
      <c r="P162" s="389">
        <f>SUM('RASHODI ZA VIJEĆE'!I167)</f>
        <v>1327.23</v>
      </c>
      <c r="Q162" s="390">
        <f t="shared" si="30"/>
        <v>0</v>
      </c>
      <c r="R162" s="390">
        <f t="shared" si="31"/>
        <v>1</v>
      </c>
      <c r="S162" s="390">
        <f t="shared" si="32"/>
        <v>0.94802142857142857</v>
      </c>
      <c r="T162" s="391"/>
      <c r="U162" s="392"/>
      <c r="V162" s="392"/>
      <c r="W162" s="392"/>
      <c r="X162" s="392"/>
      <c r="Y162" s="392"/>
      <c r="Z162" s="392"/>
      <c r="AA162" s="392"/>
      <c r="AB162" s="392"/>
    </row>
    <row r="163" spans="1:28" s="336" customFormat="1" x14ac:dyDescent="0.3">
      <c r="A163" s="386">
        <v>78</v>
      </c>
      <c r="B163" s="471">
        <v>329</v>
      </c>
      <c r="C163" s="471"/>
      <c r="D163" s="471"/>
      <c r="E163" s="471"/>
      <c r="F163" s="471"/>
      <c r="G163" s="471"/>
      <c r="H163" s="471"/>
      <c r="I163" s="471"/>
      <c r="J163" s="388" t="s">
        <v>510</v>
      </c>
      <c r="K163" s="336" t="s">
        <v>62</v>
      </c>
      <c r="L163" s="389">
        <f>SUM('RASHODI ZA VIJEĆE'!E196)</f>
        <v>1465</v>
      </c>
      <c r="M163" s="389">
        <f>SUM('RASHODI ZA VIJEĆE'!F196)</f>
        <v>5649</v>
      </c>
      <c r="N163" s="389">
        <f>SUM('RASHODI ZA VIJEĆE'!G196)</f>
        <v>3000</v>
      </c>
      <c r="O163" s="389">
        <f>SUM('RASHODI ZA VIJEĆE'!H196)</f>
        <v>8000</v>
      </c>
      <c r="P163" s="389">
        <f>SUM('RASHODI ZA VIJEĆE'!I196)</f>
        <v>5649</v>
      </c>
      <c r="Q163" s="390">
        <f t="shared" si="30"/>
        <v>3.8559726962457339</v>
      </c>
      <c r="R163" s="390">
        <f t="shared" si="31"/>
        <v>1</v>
      </c>
      <c r="S163" s="390">
        <f t="shared" si="32"/>
        <v>0.706125</v>
      </c>
      <c r="T163" s="391">
        <v>190</v>
      </c>
      <c r="U163" s="392"/>
      <c r="V163" s="392"/>
      <c r="W163" s="392"/>
      <c r="X163" s="392"/>
      <c r="Y163" s="392"/>
      <c r="Z163" s="392"/>
      <c r="AA163" s="392"/>
      <c r="AB163" s="392"/>
    </row>
    <row r="164" spans="1:28" s="322" customFormat="1" x14ac:dyDescent="0.3">
      <c r="A164" s="394"/>
      <c r="B164" s="472">
        <v>38</v>
      </c>
      <c r="C164" s="472"/>
      <c r="D164" s="472"/>
      <c r="E164" s="472"/>
      <c r="F164" s="472"/>
      <c r="G164" s="472"/>
      <c r="H164" s="472"/>
      <c r="I164" s="472"/>
      <c r="J164" s="395"/>
      <c r="K164" s="273" t="s">
        <v>22</v>
      </c>
      <c r="L164" s="379">
        <f>SUM(L165)</f>
        <v>0</v>
      </c>
      <c r="M164" s="379">
        <f>SUM(M165)</f>
        <v>0</v>
      </c>
      <c r="N164" s="379">
        <f>SUM(N165)</f>
        <v>0</v>
      </c>
      <c r="O164" s="379">
        <f>SUM(O165)</f>
        <v>0</v>
      </c>
      <c r="P164" s="379">
        <f>SUM(P165)</f>
        <v>0</v>
      </c>
      <c r="Q164" s="380">
        <f t="shared" si="30"/>
        <v>0</v>
      </c>
      <c r="R164" s="380">
        <f t="shared" si="31"/>
        <v>0</v>
      </c>
      <c r="S164" s="380">
        <f t="shared" si="32"/>
        <v>0</v>
      </c>
      <c r="T164" s="381"/>
      <c r="U164" s="357"/>
      <c r="V164" s="357"/>
      <c r="W164" s="357"/>
      <c r="X164" s="357"/>
      <c r="Y164" s="357"/>
      <c r="Z164" s="357"/>
      <c r="AA164" s="357"/>
      <c r="AB164" s="357"/>
    </row>
    <row r="165" spans="1:28" s="411" customFormat="1" x14ac:dyDescent="0.3">
      <c r="A165" s="386">
        <v>79</v>
      </c>
      <c r="B165" s="471">
        <v>381</v>
      </c>
      <c r="C165" s="471"/>
      <c r="D165" s="471"/>
      <c r="E165" s="471"/>
      <c r="F165" s="471"/>
      <c r="G165" s="471"/>
      <c r="H165" s="471"/>
      <c r="I165" s="471"/>
      <c r="J165" s="388" t="s">
        <v>510</v>
      </c>
      <c r="K165" s="336" t="s">
        <v>438</v>
      </c>
      <c r="L165" s="389">
        <f>SUM('RASHODI ZA VIJEĆE'!E330)</f>
        <v>0</v>
      </c>
      <c r="M165" s="389">
        <f>SUM('RASHODI ZA VIJEĆE'!F330)</f>
        <v>0</v>
      </c>
      <c r="N165" s="389">
        <f>SUM('RASHODI ZA VIJEĆE'!G330)</f>
        <v>0</v>
      </c>
      <c r="O165" s="389">
        <f>SUM('RASHODI ZA VIJEĆE'!H330)</f>
        <v>0</v>
      </c>
      <c r="P165" s="389">
        <f>SUM('RASHODI ZA VIJEĆE'!I330)</f>
        <v>0</v>
      </c>
      <c r="Q165" s="390">
        <f t="shared" si="30"/>
        <v>0</v>
      </c>
      <c r="R165" s="390">
        <f t="shared" si="31"/>
        <v>0</v>
      </c>
      <c r="S165" s="390">
        <f t="shared" si="32"/>
        <v>0</v>
      </c>
      <c r="T165" s="406">
        <v>300</v>
      </c>
      <c r="U165" s="410"/>
      <c r="V165" s="410"/>
      <c r="W165" s="410"/>
      <c r="X165" s="410"/>
      <c r="Y165" s="410"/>
      <c r="Z165" s="410"/>
      <c r="AA165" s="410"/>
      <c r="AB165" s="410"/>
    </row>
    <row r="166" spans="1:28" s="336" customFormat="1" x14ac:dyDescent="0.3">
      <c r="A166" s="386"/>
      <c r="B166" s="387"/>
      <c r="C166" s="387"/>
      <c r="D166" s="387"/>
      <c r="E166" s="387"/>
      <c r="F166" s="387"/>
      <c r="G166" s="387"/>
      <c r="H166" s="387"/>
      <c r="I166" s="387"/>
      <c r="J166" s="388"/>
      <c r="L166" s="389"/>
      <c r="M166" s="389"/>
      <c r="N166" s="389"/>
      <c r="O166" s="389"/>
      <c r="P166" s="389"/>
      <c r="Q166" s="390"/>
      <c r="R166" s="390"/>
      <c r="S166" s="390"/>
      <c r="T166" s="391"/>
      <c r="U166" s="392"/>
      <c r="V166" s="392"/>
      <c r="W166" s="392"/>
      <c r="X166" s="392"/>
      <c r="Y166" s="392"/>
      <c r="Z166" s="392"/>
      <c r="AA166" s="392"/>
      <c r="AB166" s="392"/>
    </row>
    <row r="167" spans="1:28" s="374" customFormat="1" ht="21" thickBot="1" x14ac:dyDescent="0.35">
      <c r="A167" s="400"/>
      <c r="B167" s="376">
        <v>1</v>
      </c>
      <c r="C167" s="376"/>
      <c r="D167" s="376"/>
      <c r="E167" s="376"/>
      <c r="F167" s="376"/>
      <c r="G167" s="376"/>
      <c r="H167" s="376"/>
      <c r="I167" s="355" t="s">
        <v>1097</v>
      </c>
      <c r="J167" s="401"/>
      <c r="K167" s="355"/>
      <c r="L167" s="403">
        <f>SUM(L169)</f>
        <v>41204.730000000003</v>
      </c>
      <c r="M167" s="403">
        <f>SUM(M169)</f>
        <v>220143.12</v>
      </c>
      <c r="N167" s="403">
        <f>SUM(N169)</f>
        <v>150000</v>
      </c>
      <c r="O167" s="403">
        <f>SUM(O169)</f>
        <v>150000</v>
      </c>
      <c r="P167" s="403">
        <f>SUM(P169)</f>
        <v>220143.12</v>
      </c>
      <c r="Q167" s="404">
        <f>IFERROR(SUM(P167/L167),0)</f>
        <v>5.3426662424435252</v>
      </c>
      <c r="R167" s="404">
        <f>IFERROR(SUM(P167/M167),0)</f>
        <v>1</v>
      </c>
      <c r="S167" s="404">
        <f>IFERROR(SUM(P167/O167),0)</f>
        <v>1.4676207999999999</v>
      </c>
      <c r="T167" s="375"/>
      <c r="U167" s="373"/>
      <c r="V167" s="373"/>
      <c r="W167" s="373"/>
      <c r="X167" s="373"/>
      <c r="Y167" s="373"/>
      <c r="Z167" s="373"/>
      <c r="AA167" s="373"/>
      <c r="AB167" s="373"/>
    </row>
    <row r="168" spans="1:28" s="322" customFormat="1" ht="21" thickTop="1" x14ac:dyDescent="0.3">
      <c r="A168" s="394"/>
      <c r="B168" s="472" t="s">
        <v>433</v>
      </c>
      <c r="C168" s="472"/>
      <c r="D168" s="472"/>
      <c r="E168" s="472"/>
      <c r="F168" s="472"/>
      <c r="G168" s="472"/>
      <c r="H168" s="472"/>
      <c r="I168" s="472"/>
      <c r="J168" s="472"/>
      <c r="K168" s="472"/>
      <c r="L168" s="379"/>
      <c r="M168" s="379"/>
      <c r="N168" s="379"/>
      <c r="O168" s="379"/>
      <c r="P168" s="379"/>
      <c r="Q168" s="380"/>
      <c r="R168" s="380"/>
      <c r="S168" s="380"/>
      <c r="T168" s="381"/>
      <c r="U168" s="357"/>
      <c r="V168" s="357"/>
      <c r="W168" s="357"/>
      <c r="X168" s="357"/>
      <c r="Y168" s="357"/>
      <c r="Z168" s="357"/>
      <c r="AA168" s="357"/>
      <c r="AB168" s="357"/>
    </row>
    <row r="169" spans="1:28" s="322" customFormat="1" x14ac:dyDescent="0.3">
      <c r="A169" s="394"/>
      <c r="B169" s="472">
        <v>4</v>
      </c>
      <c r="C169" s="472"/>
      <c r="D169" s="472"/>
      <c r="E169" s="472"/>
      <c r="F169" s="472"/>
      <c r="G169" s="472"/>
      <c r="H169" s="472"/>
      <c r="I169" s="472"/>
      <c r="J169" s="395"/>
      <c r="K169" s="273" t="s">
        <v>11</v>
      </c>
      <c r="L169" s="379">
        <f>SUM(L170)</f>
        <v>41204.730000000003</v>
      </c>
      <c r="M169" s="379">
        <f t="shared" ref="M169:P170" si="33">SUM(M170)</f>
        <v>220143.12</v>
      </c>
      <c r="N169" s="379">
        <f t="shared" si="33"/>
        <v>150000</v>
      </c>
      <c r="O169" s="379">
        <f t="shared" si="33"/>
        <v>150000</v>
      </c>
      <c r="P169" s="379">
        <f t="shared" si="33"/>
        <v>220143.12</v>
      </c>
      <c r="Q169" s="380">
        <f>IFERROR(SUM(P169/L169),0)</f>
        <v>5.3426662424435252</v>
      </c>
      <c r="R169" s="380">
        <f>IFERROR(SUM(P169/M169),0)</f>
        <v>1</v>
      </c>
      <c r="S169" s="380">
        <f>IFERROR(SUM(P169/O169),0)</f>
        <v>1.4676207999999999</v>
      </c>
      <c r="T169" s="381"/>
      <c r="U169" s="357"/>
      <c r="V169" s="357"/>
      <c r="W169" s="357"/>
      <c r="X169" s="357"/>
      <c r="Y169" s="357"/>
      <c r="Z169" s="357"/>
      <c r="AA169" s="357"/>
      <c r="AB169" s="357"/>
    </row>
    <row r="170" spans="1:28" s="322" customFormat="1" x14ac:dyDescent="0.3">
      <c r="A170" s="394"/>
      <c r="B170" s="472">
        <v>42</v>
      </c>
      <c r="C170" s="472"/>
      <c r="D170" s="472"/>
      <c r="E170" s="472"/>
      <c r="F170" s="472"/>
      <c r="G170" s="472"/>
      <c r="H170" s="472"/>
      <c r="I170" s="472"/>
      <c r="J170" s="395"/>
      <c r="K170" s="273" t="s">
        <v>23</v>
      </c>
      <c r="L170" s="379">
        <f>SUM(L171)</f>
        <v>41204.730000000003</v>
      </c>
      <c r="M170" s="379">
        <f t="shared" si="33"/>
        <v>220143.12</v>
      </c>
      <c r="N170" s="379">
        <f t="shared" si="33"/>
        <v>150000</v>
      </c>
      <c r="O170" s="379">
        <f t="shared" si="33"/>
        <v>150000</v>
      </c>
      <c r="P170" s="379">
        <f t="shared" si="33"/>
        <v>220143.12</v>
      </c>
      <c r="Q170" s="380">
        <f>IFERROR(SUM(P170/L170),0)</f>
        <v>5.3426662424435252</v>
      </c>
      <c r="R170" s="380">
        <f>IFERROR(SUM(P170/M170),0)</f>
        <v>1</v>
      </c>
      <c r="S170" s="380">
        <f>IFERROR(SUM(P170/O170),0)</f>
        <v>1.4676207999999999</v>
      </c>
      <c r="T170" s="381"/>
      <c r="U170" s="357"/>
      <c r="V170" s="357"/>
      <c r="W170" s="357"/>
      <c r="X170" s="357"/>
      <c r="Y170" s="357"/>
      <c r="Z170" s="357"/>
      <c r="AA170" s="357"/>
      <c r="AB170" s="357"/>
    </row>
    <row r="171" spans="1:28" s="336" customFormat="1" x14ac:dyDescent="0.3">
      <c r="A171" s="386">
        <v>80</v>
      </c>
      <c r="B171" s="471">
        <v>421</v>
      </c>
      <c r="C171" s="471"/>
      <c r="D171" s="471"/>
      <c r="E171" s="471"/>
      <c r="F171" s="471"/>
      <c r="G171" s="471"/>
      <c r="H171" s="471"/>
      <c r="I171" s="471"/>
      <c r="J171" s="388" t="s">
        <v>508</v>
      </c>
      <c r="K171" s="336" t="s">
        <v>743</v>
      </c>
      <c r="L171" s="389">
        <f>SUM('RASHODI ZA VIJEĆE'!E357)</f>
        <v>41204.730000000003</v>
      </c>
      <c r="M171" s="389">
        <f>SUM('RASHODI ZA VIJEĆE'!F357)</f>
        <v>220143.12</v>
      </c>
      <c r="N171" s="389">
        <f>SUM('RASHODI ZA VIJEĆE'!G357)</f>
        <v>150000</v>
      </c>
      <c r="O171" s="389">
        <f>SUM('RASHODI ZA VIJEĆE'!H357)</f>
        <v>150000</v>
      </c>
      <c r="P171" s="389">
        <f>SUM('RASHODI ZA VIJEĆE'!I357)</f>
        <v>220143.12</v>
      </c>
      <c r="Q171" s="390">
        <f>IFERROR(SUM(P171/L171),0)</f>
        <v>5.3426662424435252</v>
      </c>
      <c r="R171" s="390">
        <f>IFERROR(SUM(P171/M171),0)</f>
        <v>1</v>
      </c>
      <c r="S171" s="390">
        <f>IFERROR(SUM(P171/O171),0)</f>
        <v>1.4676207999999999</v>
      </c>
      <c r="T171" s="391"/>
      <c r="U171" s="392"/>
      <c r="V171" s="392"/>
      <c r="W171" s="392"/>
      <c r="X171" s="392"/>
      <c r="Y171" s="392"/>
      <c r="Z171" s="392"/>
      <c r="AA171" s="393"/>
      <c r="AB171" s="392"/>
    </row>
    <row r="172" spans="1:28" s="336" customFormat="1" x14ac:dyDescent="0.3">
      <c r="A172" s="386"/>
      <c r="B172" s="387"/>
      <c r="C172" s="387"/>
      <c r="D172" s="387"/>
      <c r="E172" s="387"/>
      <c r="F172" s="387"/>
      <c r="G172" s="387"/>
      <c r="H172" s="387"/>
      <c r="I172" s="387"/>
      <c r="J172" s="388"/>
      <c r="L172" s="389"/>
      <c r="M172" s="389"/>
      <c r="N172" s="389"/>
      <c r="O172" s="389"/>
      <c r="P172" s="389"/>
      <c r="Q172" s="390"/>
      <c r="R172" s="390"/>
      <c r="S172" s="390"/>
      <c r="T172" s="391"/>
      <c r="U172" s="392"/>
      <c r="V172" s="392"/>
      <c r="W172" s="392"/>
      <c r="X172" s="392"/>
      <c r="Y172" s="392"/>
      <c r="Z172" s="392"/>
      <c r="AA172" s="393"/>
      <c r="AB172" s="392"/>
    </row>
    <row r="173" spans="1:28" s="374" customFormat="1" ht="21" thickBot="1" x14ac:dyDescent="0.35">
      <c r="A173" s="400"/>
      <c r="B173" s="376">
        <v>1</v>
      </c>
      <c r="C173" s="376">
        <v>2</v>
      </c>
      <c r="D173" s="376">
        <v>3</v>
      </c>
      <c r="E173" s="376"/>
      <c r="F173" s="376"/>
      <c r="G173" s="376"/>
      <c r="H173" s="376"/>
      <c r="I173" s="355" t="s">
        <v>1098</v>
      </c>
      <c r="J173" s="401"/>
      <c r="K173" s="355"/>
      <c r="L173" s="403">
        <f>SUM(L175+L182+L189)</f>
        <v>42798</v>
      </c>
      <c r="M173" s="403">
        <f>SUM(M175+M182+M189)</f>
        <v>147987.77000000002</v>
      </c>
      <c r="N173" s="403">
        <f>SUM(N175+N182+N189)</f>
        <v>94000</v>
      </c>
      <c r="O173" s="403">
        <f>SUM(O175+O182+O189)</f>
        <v>157000</v>
      </c>
      <c r="P173" s="403">
        <f>SUM(P175+P182+P189)</f>
        <v>147987.77000000002</v>
      </c>
      <c r="Q173" s="404">
        <f>IFERROR(SUM(P173/L173),0)</f>
        <v>3.4578197579326142</v>
      </c>
      <c r="R173" s="404">
        <f>IFERROR(SUM(P173/M173),0)</f>
        <v>1</v>
      </c>
      <c r="S173" s="404">
        <f>IFERROR(SUM(P173/O173),0)</f>
        <v>0.94259726114649689</v>
      </c>
      <c r="T173" s="375"/>
      <c r="U173" s="373"/>
      <c r="V173" s="373"/>
      <c r="W173" s="373"/>
      <c r="X173" s="373"/>
      <c r="Y173" s="373"/>
      <c r="Z173" s="373"/>
      <c r="AA173" s="373"/>
      <c r="AB173" s="373"/>
    </row>
    <row r="174" spans="1:28" s="322" customFormat="1" ht="21" thickTop="1" x14ac:dyDescent="0.3">
      <c r="A174" s="394"/>
      <c r="B174" s="472" t="s">
        <v>626</v>
      </c>
      <c r="C174" s="472"/>
      <c r="D174" s="472"/>
      <c r="E174" s="472"/>
      <c r="F174" s="472"/>
      <c r="G174" s="472"/>
      <c r="H174" s="472"/>
      <c r="I174" s="472"/>
      <c r="J174" s="472"/>
      <c r="K174" s="472"/>
      <c r="L174" s="379"/>
      <c r="M174" s="379"/>
      <c r="N174" s="379"/>
      <c r="O174" s="379"/>
      <c r="P174" s="379"/>
      <c r="Q174" s="380"/>
      <c r="R174" s="380"/>
      <c r="S174" s="380"/>
      <c r="T174" s="381"/>
      <c r="U174" s="357"/>
      <c r="V174" s="357"/>
      <c r="W174" s="357"/>
      <c r="X174" s="357"/>
      <c r="Y174" s="357"/>
      <c r="Z174" s="357"/>
      <c r="AA174" s="357"/>
      <c r="AB174" s="357"/>
    </row>
    <row r="175" spans="1:28" s="322" customFormat="1" x14ac:dyDescent="0.3">
      <c r="A175" s="394"/>
      <c r="B175" s="472">
        <v>3</v>
      </c>
      <c r="C175" s="472"/>
      <c r="D175" s="472"/>
      <c r="E175" s="472"/>
      <c r="F175" s="472"/>
      <c r="G175" s="472"/>
      <c r="H175" s="472"/>
      <c r="I175" s="472"/>
      <c r="J175" s="395"/>
      <c r="K175" s="273" t="s">
        <v>20</v>
      </c>
      <c r="L175" s="379">
        <f>SUM(L176)</f>
        <v>19631.309999999998</v>
      </c>
      <c r="M175" s="379">
        <f>SUM(M176)</f>
        <v>97012.800000000003</v>
      </c>
      <c r="N175" s="379">
        <f>SUM(N176)</f>
        <v>50000</v>
      </c>
      <c r="O175" s="379">
        <f>SUM(O176)</f>
        <v>105000</v>
      </c>
      <c r="P175" s="379">
        <f>SUM(P176)</f>
        <v>97012.800000000003</v>
      </c>
      <c r="Q175" s="380">
        <f t="shared" ref="Q175:Q180" si="34">IFERROR(SUM(P175/L175),0)</f>
        <v>4.9417384779721791</v>
      </c>
      <c r="R175" s="380">
        <f t="shared" ref="R175:R180" si="35">IFERROR(SUM(P175/M175),0)</f>
        <v>1</v>
      </c>
      <c r="S175" s="380">
        <f t="shared" ref="S175:S180" si="36">IFERROR(SUM(P175/O175),0)</f>
        <v>0.92393142857142863</v>
      </c>
      <c r="T175" s="381"/>
      <c r="U175" s="357"/>
      <c r="V175" s="357"/>
      <c r="W175" s="357"/>
      <c r="X175" s="357"/>
      <c r="Y175" s="357"/>
      <c r="Z175" s="357"/>
      <c r="AA175" s="357"/>
      <c r="AB175" s="357"/>
    </row>
    <row r="176" spans="1:28" s="322" customFormat="1" x14ac:dyDescent="0.3">
      <c r="A176" s="394"/>
      <c r="B176" s="472">
        <v>32</v>
      </c>
      <c r="C176" s="472"/>
      <c r="D176" s="472"/>
      <c r="E176" s="472"/>
      <c r="F176" s="472"/>
      <c r="G176" s="472"/>
      <c r="H176" s="472"/>
      <c r="I176" s="472"/>
      <c r="J176" s="395"/>
      <c r="K176" s="273" t="s">
        <v>3</v>
      </c>
      <c r="L176" s="379">
        <f>SUM(L177:L180)</f>
        <v>19631.309999999998</v>
      </c>
      <c r="M176" s="379">
        <f t="shared" ref="M176:P176" si="37">SUM(M177:M180)</f>
        <v>97012.800000000003</v>
      </c>
      <c r="N176" s="379">
        <f t="shared" si="37"/>
        <v>50000</v>
      </c>
      <c r="O176" s="379">
        <f t="shared" si="37"/>
        <v>105000</v>
      </c>
      <c r="P176" s="379">
        <f t="shared" si="37"/>
        <v>97012.800000000003</v>
      </c>
      <c r="Q176" s="380">
        <f t="shared" si="34"/>
        <v>4.9417384779721791</v>
      </c>
      <c r="R176" s="380">
        <f t="shared" si="35"/>
        <v>1</v>
      </c>
      <c r="S176" s="380">
        <f t="shared" si="36"/>
        <v>0.92393142857142863</v>
      </c>
      <c r="T176" s="381"/>
      <c r="U176" s="357"/>
      <c r="V176" s="357"/>
      <c r="W176" s="357"/>
      <c r="X176" s="357"/>
      <c r="Y176" s="357"/>
      <c r="Z176" s="357"/>
      <c r="AA176" s="357"/>
      <c r="AB176" s="357"/>
    </row>
    <row r="177" spans="1:28" s="336" customFormat="1" x14ac:dyDescent="0.3">
      <c r="A177" s="386">
        <v>81</v>
      </c>
      <c r="B177" s="471">
        <v>323</v>
      </c>
      <c r="C177" s="471"/>
      <c r="D177" s="471"/>
      <c r="E177" s="471"/>
      <c r="F177" s="471"/>
      <c r="G177" s="471"/>
      <c r="H177" s="471"/>
      <c r="I177" s="471"/>
      <c r="J177" s="388" t="s">
        <v>514</v>
      </c>
      <c r="K177" s="336" t="s">
        <v>85</v>
      </c>
      <c r="L177" s="389">
        <f>SUM('RASHODI ZA VIJEĆE'!E126)</f>
        <v>14515.99</v>
      </c>
      <c r="M177" s="389">
        <f>SUM('RASHODI ZA VIJEĆE'!F126)</f>
        <v>24496.59</v>
      </c>
      <c r="N177" s="389">
        <f>SUM('RASHODI ZA VIJEĆE'!G126)</f>
        <v>20000</v>
      </c>
      <c r="O177" s="389">
        <f>SUM('RASHODI ZA VIJEĆE'!H126)</f>
        <v>27000</v>
      </c>
      <c r="P177" s="389">
        <f>SUM('RASHODI ZA VIJEĆE'!I126)</f>
        <v>24496.59</v>
      </c>
      <c r="Q177" s="390">
        <f t="shared" si="34"/>
        <v>1.6875590297320404</v>
      </c>
      <c r="R177" s="390">
        <f t="shared" si="35"/>
        <v>1</v>
      </c>
      <c r="S177" s="390">
        <f t="shared" si="36"/>
        <v>0.90728111111111109</v>
      </c>
      <c r="T177" s="391">
        <v>128</v>
      </c>
      <c r="U177" s="392"/>
      <c r="V177" s="392"/>
      <c r="W177" s="392"/>
      <c r="X177" s="392"/>
      <c r="Y177" s="392"/>
      <c r="Z177" s="392"/>
      <c r="AA177" s="393"/>
      <c r="AB177" s="392"/>
    </row>
    <row r="178" spans="1:28" s="336" customFormat="1" x14ac:dyDescent="0.3">
      <c r="A178" s="386">
        <v>82</v>
      </c>
      <c r="B178" s="471">
        <v>323</v>
      </c>
      <c r="C178" s="471"/>
      <c r="D178" s="471"/>
      <c r="E178" s="471"/>
      <c r="F178" s="471"/>
      <c r="G178" s="471"/>
      <c r="H178" s="471"/>
      <c r="I178" s="471"/>
      <c r="J178" s="388" t="s">
        <v>514</v>
      </c>
      <c r="K178" s="336" t="s">
        <v>54</v>
      </c>
      <c r="L178" s="389">
        <f>SUM('RASHODI ZA VIJEĆE'!E145+'RASHODI ZA VIJEĆE'!E146)</f>
        <v>5115.32</v>
      </c>
      <c r="M178" s="389">
        <f>SUM('RASHODI ZA VIJEĆE'!F145+'RASHODI ZA VIJEĆE'!F146)</f>
        <v>7084.45</v>
      </c>
      <c r="N178" s="389">
        <f>SUM('RASHODI ZA VIJEĆE'!G145+'RASHODI ZA VIJEĆE'!G146)</f>
        <v>30000</v>
      </c>
      <c r="O178" s="389">
        <f>SUM('RASHODI ZA VIJEĆE'!H145+'RASHODI ZA VIJEĆE'!H146)</f>
        <v>10000</v>
      </c>
      <c r="P178" s="389">
        <f>SUM('RASHODI ZA VIJEĆE'!I145+'RASHODI ZA VIJEĆE'!I146)</f>
        <v>7084.45</v>
      </c>
      <c r="Q178" s="390">
        <f t="shared" si="34"/>
        <v>1.384947569262529</v>
      </c>
      <c r="R178" s="390">
        <f t="shared" si="35"/>
        <v>1</v>
      </c>
      <c r="S178" s="390">
        <f t="shared" si="36"/>
        <v>0.70844499999999999</v>
      </c>
      <c r="T178" s="391" t="s">
        <v>489</v>
      </c>
      <c r="U178" s="392"/>
      <c r="V178" s="392"/>
      <c r="W178" s="392"/>
      <c r="X178" s="392"/>
      <c r="Y178" s="392"/>
      <c r="Z178" s="392"/>
      <c r="AA178" s="392"/>
      <c r="AB178" s="392"/>
    </row>
    <row r="179" spans="1:28" s="336" customFormat="1" x14ac:dyDescent="0.3">
      <c r="A179" s="386">
        <v>83</v>
      </c>
      <c r="B179" s="471">
        <v>323</v>
      </c>
      <c r="C179" s="471"/>
      <c r="D179" s="471"/>
      <c r="E179" s="471"/>
      <c r="F179" s="471"/>
      <c r="G179" s="471"/>
      <c r="H179" s="471"/>
      <c r="I179" s="471"/>
      <c r="J179" s="388" t="s">
        <v>515</v>
      </c>
      <c r="K179" s="336" t="s">
        <v>1116</v>
      </c>
      <c r="L179" s="389">
        <f>SUM('RASHODI ZA VIJEĆE'!E139)</f>
        <v>0</v>
      </c>
      <c r="M179" s="389">
        <f>SUM('RASHODI ZA VIJEĆE'!F139)</f>
        <v>64600</v>
      </c>
      <c r="N179" s="389">
        <f>SUM('RASHODI ZA VIJEĆE'!G139)</f>
        <v>0</v>
      </c>
      <c r="O179" s="389">
        <f>SUM('RASHODI ZA VIJEĆE'!H139)</f>
        <v>65000</v>
      </c>
      <c r="P179" s="389">
        <f>SUM('RASHODI ZA VIJEĆE'!I139)</f>
        <v>64600</v>
      </c>
      <c r="Q179" s="390">
        <f t="shared" si="34"/>
        <v>0</v>
      </c>
      <c r="R179" s="390">
        <f t="shared" si="35"/>
        <v>1</v>
      </c>
      <c r="S179" s="390">
        <f t="shared" si="36"/>
        <v>0.99384615384615382</v>
      </c>
      <c r="T179" s="391"/>
      <c r="U179" s="392"/>
      <c r="V179" s="392"/>
      <c r="W179" s="392"/>
      <c r="X179" s="392"/>
      <c r="Y179" s="392"/>
      <c r="Z179" s="392"/>
      <c r="AA179" s="392"/>
      <c r="AB179" s="392"/>
    </row>
    <row r="180" spans="1:28" s="336" customFormat="1" x14ac:dyDescent="0.3">
      <c r="A180" s="386"/>
      <c r="B180" s="471">
        <v>323</v>
      </c>
      <c r="C180" s="471"/>
      <c r="D180" s="471"/>
      <c r="E180" s="471"/>
      <c r="F180" s="471"/>
      <c r="G180" s="471"/>
      <c r="H180" s="471"/>
      <c r="I180" s="471"/>
      <c r="J180" s="388" t="s">
        <v>515</v>
      </c>
      <c r="K180" s="336" t="s">
        <v>1117</v>
      </c>
      <c r="L180" s="389">
        <f>SUM('RASHODI ZA VIJEĆE'!E117)</f>
        <v>0</v>
      </c>
      <c r="M180" s="389">
        <f>SUM('RASHODI ZA VIJEĆE'!F117)</f>
        <v>831.76</v>
      </c>
      <c r="N180" s="389">
        <f>SUM('RASHODI ZA VIJEĆE'!G117)</f>
        <v>0</v>
      </c>
      <c r="O180" s="389">
        <f>SUM('RASHODI ZA VIJEĆE'!H117)</f>
        <v>3000</v>
      </c>
      <c r="P180" s="389">
        <f>SUM('RASHODI ZA VIJEĆE'!I117)</f>
        <v>831.76</v>
      </c>
      <c r="Q180" s="390">
        <f t="shared" si="34"/>
        <v>0</v>
      </c>
      <c r="R180" s="390">
        <f t="shared" si="35"/>
        <v>1</v>
      </c>
      <c r="S180" s="390">
        <f t="shared" si="36"/>
        <v>0.27725333333333335</v>
      </c>
      <c r="T180" s="391"/>
      <c r="U180" s="392"/>
      <c r="V180" s="392"/>
      <c r="W180" s="392"/>
      <c r="X180" s="392"/>
      <c r="Y180" s="392"/>
      <c r="Z180" s="392"/>
      <c r="AA180" s="392"/>
      <c r="AB180" s="392"/>
    </row>
    <row r="181" spans="1:28" s="322" customFormat="1" x14ac:dyDescent="0.3">
      <c r="A181" s="394"/>
      <c r="B181" s="273" t="s">
        <v>439</v>
      </c>
      <c r="C181" s="407"/>
      <c r="D181" s="407"/>
      <c r="E181" s="407"/>
      <c r="F181" s="407"/>
      <c r="G181" s="407"/>
      <c r="H181" s="407"/>
      <c r="I181" s="407"/>
      <c r="J181" s="395"/>
      <c r="L181" s="398"/>
      <c r="M181" s="398"/>
      <c r="N181" s="398"/>
      <c r="O181" s="398"/>
      <c r="P181" s="398"/>
      <c r="Q181" s="399"/>
      <c r="R181" s="399"/>
      <c r="S181" s="399"/>
      <c r="T181" s="396"/>
      <c r="U181" s="357"/>
      <c r="V181" s="357"/>
      <c r="W181" s="357"/>
      <c r="X181" s="357"/>
      <c r="Y181" s="357"/>
      <c r="Z181" s="357"/>
      <c r="AA181" s="357"/>
      <c r="AB181" s="357"/>
    </row>
    <row r="182" spans="1:28" s="322" customFormat="1" x14ac:dyDescent="0.3">
      <c r="A182" s="394"/>
      <c r="B182" s="472">
        <v>3</v>
      </c>
      <c r="C182" s="472"/>
      <c r="D182" s="472"/>
      <c r="E182" s="472"/>
      <c r="F182" s="472"/>
      <c r="G182" s="472"/>
      <c r="H182" s="472"/>
      <c r="I182" s="472"/>
      <c r="J182" s="395"/>
      <c r="K182" s="273" t="s">
        <v>20</v>
      </c>
      <c r="L182" s="379">
        <f>SUM(L183)</f>
        <v>18208.650000000001</v>
      </c>
      <c r="M182" s="379">
        <f>SUM(M183)</f>
        <v>46016.930000000008</v>
      </c>
      <c r="N182" s="379">
        <f>SUM(N183)</f>
        <v>40000</v>
      </c>
      <c r="O182" s="379">
        <f>SUM(O183)</f>
        <v>43000</v>
      </c>
      <c r="P182" s="379">
        <f>SUM(P183)</f>
        <v>46016.930000000008</v>
      </c>
      <c r="Q182" s="380">
        <f t="shared" ref="Q182:Q187" si="38">IFERROR(SUM(P182/L182),0)</f>
        <v>2.5272016321912938</v>
      </c>
      <c r="R182" s="380">
        <f t="shared" ref="R182:R187" si="39">IFERROR(SUM(P182/M182),0)</f>
        <v>1</v>
      </c>
      <c r="S182" s="380">
        <f t="shared" ref="S182:S187" si="40">IFERROR(SUM(P182/O182),0)</f>
        <v>1.070161162790698</v>
      </c>
      <c r="T182" s="396"/>
      <c r="U182" s="357"/>
      <c r="V182" s="357"/>
      <c r="W182" s="357"/>
      <c r="X182" s="357"/>
      <c r="Y182" s="357"/>
      <c r="Z182" s="357"/>
      <c r="AA182" s="357"/>
      <c r="AB182" s="357"/>
    </row>
    <row r="183" spans="1:28" s="322" customFormat="1" x14ac:dyDescent="0.3">
      <c r="A183" s="394"/>
      <c r="B183" s="472">
        <v>32</v>
      </c>
      <c r="C183" s="472"/>
      <c r="D183" s="472"/>
      <c r="E183" s="472"/>
      <c r="F183" s="472"/>
      <c r="G183" s="472"/>
      <c r="H183" s="472"/>
      <c r="I183" s="472"/>
      <c r="J183" s="395"/>
      <c r="K183" s="273" t="s">
        <v>3</v>
      </c>
      <c r="L183" s="379">
        <f>SUM(L184:L187)</f>
        <v>18208.650000000001</v>
      </c>
      <c r="M183" s="379">
        <f>SUM(M184:M187)</f>
        <v>46016.930000000008</v>
      </c>
      <c r="N183" s="379">
        <f>SUM(N184:N187)</f>
        <v>40000</v>
      </c>
      <c r="O183" s="379">
        <f>SUM(O184:O187)</f>
        <v>43000</v>
      </c>
      <c r="P183" s="379">
        <f>SUM(P184:P187)</f>
        <v>46016.930000000008</v>
      </c>
      <c r="Q183" s="380">
        <f t="shared" si="38"/>
        <v>2.5272016321912938</v>
      </c>
      <c r="R183" s="380">
        <f t="shared" si="39"/>
        <v>1</v>
      </c>
      <c r="S183" s="380">
        <f t="shared" si="40"/>
        <v>1.070161162790698</v>
      </c>
      <c r="T183" s="396"/>
      <c r="U183" s="357"/>
      <c r="V183" s="357"/>
      <c r="W183" s="357"/>
      <c r="X183" s="357"/>
      <c r="Y183" s="357"/>
      <c r="Z183" s="357"/>
      <c r="AA183" s="357"/>
      <c r="AB183" s="357"/>
    </row>
    <row r="184" spans="1:28" s="336" customFormat="1" x14ac:dyDescent="0.3">
      <c r="A184" s="386">
        <v>84</v>
      </c>
      <c r="B184" s="471">
        <v>322</v>
      </c>
      <c r="C184" s="471"/>
      <c r="D184" s="471"/>
      <c r="E184" s="471"/>
      <c r="F184" s="471"/>
      <c r="G184" s="471"/>
      <c r="H184" s="471"/>
      <c r="I184" s="471"/>
      <c r="J184" s="388" t="s">
        <v>898</v>
      </c>
      <c r="K184" s="336" t="s">
        <v>761</v>
      </c>
      <c r="L184" s="389">
        <f>SUM('RASHODI ZA VIJEĆE'!E78)</f>
        <v>1120.8699999999999</v>
      </c>
      <c r="M184" s="389">
        <f>SUM('RASHODI ZA VIJEĆE'!F78)</f>
        <v>3028.91</v>
      </c>
      <c r="N184" s="389">
        <f>SUM('RASHODI ZA VIJEĆE'!G78)</f>
        <v>1500</v>
      </c>
      <c r="O184" s="389">
        <f>SUM('RASHODI ZA VIJEĆE'!H78)</f>
        <v>3500</v>
      </c>
      <c r="P184" s="389">
        <f>SUM('RASHODI ZA VIJEĆE'!I78)</f>
        <v>3028.91</v>
      </c>
      <c r="Q184" s="390">
        <f t="shared" si="38"/>
        <v>2.7022848323177535</v>
      </c>
      <c r="R184" s="390">
        <f t="shared" si="39"/>
        <v>1</v>
      </c>
      <c r="S184" s="390">
        <f t="shared" si="40"/>
        <v>0.86540285714285714</v>
      </c>
      <c r="T184" s="391"/>
      <c r="U184" s="392"/>
      <c r="V184" s="392"/>
      <c r="W184" s="392"/>
      <c r="X184" s="392"/>
      <c r="Y184" s="392"/>
      <c r="Z184" s="392"/>
      <c r="AA184" s="392"/>
      <c r="AB184" s="392"/>
    </row>
    <row r="185" spans="1:28" s="336" customFormat="1" x14ac:dyDescent="0.3">
      <c r="A185" s="386">
        <v>85</v>
      </c>
      <c r="B185" s="471">
        <v>323</v>
      </c>
      <c r="C185" s="471"/>
      <c r="D185" s="471"/>
      <c r="E185" s="471"/>
      <c r="F185" s="471"/>
      <c r="G185" s="471"/>
      <c r="H185" s="471"/>
      <c r="I185" s="471"/>
      <c r="J185" s="388" t="s">
        <v>898</v>
      </c>
      <c r="K185" s="336" t="s">
        <v>899</v>
      </c>
      <c r="L185" s="389">
        <f>SUM('RASHODI ZA VIJEĆE'!E131)</f>
        <v>6847.3</v>
      </c>
      <c r="M185" s="389">
        <f>SUM('RASHODI ZA VIJEĆE'!F131)</f>
        <v>13615.63</v>
      </c>
      <c r="N185" s="389">
        <f>SUM('RASHODI ZA VIJEĆE'!G131)</f>
        <v>20000</v>
      </c>
      <c r="O185" s="389">
        <f>SUM('RASHODI ZA VIJEĆE'!H131)</f>
        <v>14000</v>
      </c>
      <c r="P185" s="389">
        <f>SUM('RASHODI ZA VIJEĆE'!I131)</f>
        <v>13615.63</v>
      </c>
      <c r="Q185" s="390">
        <f t="shared" si="38"/>
        <v>1.9884669869875715</v>
      </c>
      <c r="R185" s="390">
        <f t="shared" si="39"/>
        <v>1</v>
      </c>
      <c r="S185" s="390">
        <f t="shared" si="40"/>
        <v>0.97254499999999999</v>
      </c>
      <c r="T185" s="391"/>
      <c r="U185" s="392"/>
      <c r="V185" s="392"/>
      <c r="W185" s="392"/>
      <c r="X185" s="392"/>
      <c r="Y185" s="392"/>
      <c r="Z185" s="392"/>
      <c r="AA185" s="392"/>
      <c r="AB185" s="392"/>
    </row>
    <row r="186" spans="1:28" s="336" customFormat="1" x14ac:dyDescent="0.3">
      <c r="A186" s="386">
        <v>86</v>
      </c>
      <c r="B186" s="471">
        <v>323</v>
      </c>
      <c r="C186" s="471"/>
      <c r="D186" s="471"/>
      <c r="E186" s="471"/>
      <c r="F186" s="471"/>
      <c r="G186" s="471"/>
      <c r="H186" s="471"/>
      <c r="I186" s="471"/>
      <c r="J186" s="388" t="s">
        <v>898</v>
      </c>
      <c r="K186" s="336" t="s">
        <v>900</v>
      </c>
      <c r="L186" s="389">
        <f>SUM('RASHODI ZA VIJEĆE'!E128)</f>
        <v>9045.94</v>
      </c>
      <c r="M186" s="389">
        <f>SUM('RASHODI ZA VIJEĆE'!F128)</f>
        <v>26983.31</v>
      </c>
      <c r="N186" s="389">
        <f>SUM('RASHODI ZA VIJEĆE'!G128)</f>
        <v>16000</v>
      </c>
      <c r="O186" s="389">
        <f>SUM('RASHODI ZA VIJEĆE'!H128)</f>
        <v>23000</v>
      </c>
      <c r="P186" s="389">
        <f>SUM('RASHODI ZA VIJEĆE'!I128)</f>
        <v>26983.31</v>
      </c>
      <c r="Q186" s="390">
        <f t="shared" si="38"/>
        <v>2.9829194091492979</v>
      </c>
      <c r="R186" s="390">
        <f t="shared" si="39"/>
        <v>1</v>
      </c>
      <c r="S186" s="390">
        <f t="shared" si="40"/>
        <v>1.1731873913043478</v>
      </c>
      <c r="T186" s="391"/>
      <c r="U186" s="392"/>
      <c r="V186" s="392"/>
      <c r="W186" s="392"/>
      <c r="X186" s="392"/>
      <c r="Y186" s="392"/>
      <c r="Z186" s="392"/>
      <c r="AA186" s="392"/>
      <c r="AB186" s="392"/>
    </row>
    <row r="187" spans="1:28" s="336" customFormat="1" x14ac:dyDescent="0.3">
      <c r="A187" s="386">
        <v>87</v>
      </c>
      <c r="B187" s="471">
        <v>323</v>
      </c>
      <c r="C187" s="471"/>
      <c r="D187" s="471"/>
      <c r="E187" s="471"/>
      <c r="F187" s="471"/>
      <c r="G187" s="471"/>
      <c r="H187" s="471"/>
      <c r="I187" s="471"/>
      <c r="J187" s="388" t="s">
        <v>898</v>
      </c>
      <c r="K187" s="336" t="s">
        <v>901</v>
      </c>
      <c r="L187" s="389">
        <f>SUM('RASHODI ZA VIJEĆE'!E158)</f>
        <v>1194.54</v>
      </c>
      <c r="M187" s="389">
        <f>SUM('RASHODI ZA VIJEĆE'!F158)</f>
        <v>2389.08</v>
      </c>
      <c r="N187" s="389">
        <f>SUM('RASHODI ZA VIJEĆE'!G158)</f>
        <v>2500</v>
      </c>
      <c r="O187" s="389">
        <f>SUM('RASHODI ZA VIJEĆE'!H158)</f>
        <v>2500</v>
      </c>
      <c r="P187" s="389">
        <f>SUM('RASHODI ZA VIJEĆE'!I158)</f>
        <v>2389.08</v>
      </c>
      <c r="Q187" s="390">
        <f t="shared" si="38"/>
        <v>2</v>
      </c>
      <c r="R187" s="390">
        <f t="shared" si="39"/>
        <v>1</v>
      </c>
      <c r="S187" s="390">
        <f t="shared" si="40"/>
        <v>0.95563199999999993</v>
      </c>
      <c r="T187" s="391"/>
      <c r="U187" s="392"/>
      <c r="V187" s="392"/>
      <c r="W187" s="392"/>
      <c r="X187" s="392"/>
      <c r="Y187" s="392"/>
      <c r="Z187" s="392"/>
      <c r="AA187" s="392"/>
      <c r="AB187" s="392"/>
    </row>
    <row r="188" spans="1:28" s="322" customFormat="1" x14ac:dyDescent="0.3">
      <c r="A188" s="394"/>
      <c r="B188" s="472" t="s">
        <v>847</v>
      </c>
      <c r="C188" s="472"/>
      <c r="D188" s="472"/>
      <c r="E188" s="472"/>
      <c r="F188" s="472"/>
      <c r="G188" s="472"/>
      <c r="H188" s="472"/>
      <c r="I188" s="472"/>
      <c r="J188" s="472"/>
      <c r="K188" s="472"/>
      <c r="L188" s="398"/>
      <c r="M188" s="398"/>
      <c r="N188" s="398"/>
      <c r="O188" s="398"/>
      <c r="P188" s="398"/>
      <c r="Q188" s="380"/>
      <c r="R188" s="380"/>
      <c r="S188" s="380"/>
      <c r="T188" s="396"/>
      <c r="U188" s="357"/>
      <c r="V188" s="357"/>
      <c r="W188" s="357"/>
      <c r="X188" s="357"/>
      <c r="Y188" s="357"/>
      <c r="Z188" s="357"/>
      <c r="AA188" s="357"/>
      <c r="AB188" s="357"/>
    </row>
    <row r="189" spans="1:28" s="322" customFormat="1" x14ac:dyDescent="0.3">
      <c r="A189" s="394"/>
      <c r="B189" s="472">
        <v>38</v>
      </c>
      <c r="C189" s="472"/>
      <c r="D189" s="472"/>
      <c r="E189" s="472"/>
      <c r="F189" s="472"/>
      <c r="G189" s="472"/>
      <c r="H189" s="472"/>
      <c r="I189" s="472"/>
      <c r="J189" s="395"/>
      <c r="K189" s="273" t="s">
        <v>22</v>
      </c>
      <c r="L189" s="379">
        <f>SUM(L190)</f>
        <v>4958.04</v>
      </c>
      <c r="M189" s="379">
        <f>SUM(M190)</f>
        <v>4958.04</v>
      </c>
      <c r="N189" s="379">
        <f>SUM(N190)</f>
        <v>4000</v>
      </c>
      <c r="O189" s="379">
        <f>SUM(O190)</f>
        <v>9000</v>
      </c>
      <c r="P189" s="379">
        <f>SUM(P190)</f>
        <v>4958.04</v>
      </c>
      <c r="Q189" s="380">
        <f>IFERROR(SUM(P189/L189),0)</f>
        <v>1</v>
      </c>
      <c r="R189" s="380">
        <f>IFERROR(SUM(P189/M189),0)</f>
        <v>1</v>
      </c>
      <c r="S189" s="380">
        <f>IFERROR(SUM(P189/O189),0)</f>
        <v>0.55089333333333335</v>
      </c>
      <c r="T189" s="396"/>
      <c r="U189" s="357"/>
      <c r="V189" s="357"/>
      <c r="W189" s="357"/>
      <c r="X189" s="357"/>
      <c r="Y189" s="357"/>
      <c r="Z189" s="357"/>
      <c r="AA189" s="357"/>
      <c r="AB189" s="357"/>
    </row>
    <row r="190" spans="1:28" s="336" customFormat="1" x14ac:dyDescent="0.3">
      <c r="A190" s="386">
        <v>88</v>
      </c>
      <c r="B190" s="471">
        <v>381</v>
      </c>
      <c r="C190" s="471"/>
      <c r="D190" s="471"/>
      <c r="E190" s="471"/>
      <c r="F190" s="471"/>
      <c r="G190" s="471"/>
      <c r="H190" s="471"/>
      <c r="I190" s="471"/>
      <c r="J190" s="388" t="s">
        <v>514</v>
      </c>
      <c r="K190" s="336" t="s">
        <v>848</v>
      </c>
      <c r="L190" s="389">
        <f>SUM('RASHODI ZA VIJEĆE'!E301+'RASHODI ZA VIJEĆE'!E302+'RASHODI ZA VIJEĆE'!E303)</f>
        <v>4958.04</v>
      </c>
      <c r="M190" s="389">
        <f>SUM('RASHODI ZA VIJEĆE'!F301+'RASHODI ZA VIJEĆE'!F302+'RASHODI ZA VIJEĆE'!F303)</f>
        <v>4958.04</v>
      </c>
      <c r="N190" s="389">
        <f>SUM('RASHODI ZA VIJEĆE'!G301+'RASHODI ZA VIJEĆE'!G302+'RASHODI ZA VIJEĆE'!G303)</f>
        <v>4000</v>
      </c>
      <c r="O190" s="389">
        <f>SUM('RASHODI ZA VIJEĆE'!H301+'RASHODI ZA VIJEĆE'!H302+'RASHODI ZA VIJEĆE'!H303)</f>
        <v>9000</v>
      </c>
      <c r="P190" s="389">
        <f>SUM('RASHODI ZA VIJEĆE'!I301+'RASHODI ZA VIJEĆE'!I302+'RASHODI ZA VIJEĆE'!I303)</f>
        <v>4958.04</v>
      </c>
      <c r="Q190" s="390">
        <f>IFERROR(SUM(P190/L190),0)</f>
        <v>1</v>
      </c>
      <c r="R190" s="390">
        <f>IFERROR(SUM(P190/M190),0)</f>
        <v>1</v>
      </c>
      <c r="S190" s="390">
        <f>IFERROR(SUM(P190/O190),0)</f>
        <v>0.55089333333333335</v>
      </c>
      <c r="T190" s="391"/>
      <c r="U190" s="392"/>
      <c r="V190" s="392"/>
      <c r="W190" s="392"/>
      <c r="X190" s="392"/>
      <c r="Y190" s="392"/>
      <c r="Z190" s="392"/>
      <c r="AA190" s="392"/>
      <c r="AB190" s="392"/>
    </row>
    <row r="191" spans="1:28" s="336" customFormat="1" x14ac:dyDescent="0.3">
      <c r="A191" s="386"/>
      <c r="B191" s="387"/>
      <c r="C191" s="387"/>
      <c r="D191" s="387"/>
      <c r="E191" s="387"/>
      <c r="F191" s="387"/>
      <c r="G191" s="387"/>
      <c r="H191" s="387"/>
      <c r="I191" s="387"/>
      <c r="J191" s="388"/>
      <c r="L191" s="389"/>
      <c r="M191" s="389"/>
      <c r="N191" s="389"/>
      <c r="O191" s="389"/>
      <c r="P191" s="389"/>
      <c r="Q191" s="390"/>
      <c r="R191" s="390"/>
      <c r="S191" s="390"/>
      <c r="T191" s="391"/>
      <c r="U191" s="392"/>
      <c r="V191" s="392"/>
      <c r="W191" s="392"/>
      <c r="X191" s="392"/>
      <c r="Y191" s="392"/>
      <c r="Z191" s="392"/>
      <c r="AA191" s="392"/>
      <c r="AB191" s="392"/>
    </row>
    <row r="192" spans="1:28" s="418" customFormat="1" ht="38.25" customHeight="1" thickBot="1" x14ac:dyDescent="0.35">
      <c r="A192" s="412"/>
      <c r="B192" s="413">
        <v>1</v>
      </c>
      <c r="C192" s="413">
        <v>2</v>
      </c>
      <c r="D192" s="413">
        <v>3</v>
      </c>
      <c r="E192" s="413"/>
      <c r="F192" s="413"/>
      <c r="G192" s="413"/>
      <c r="H192" s="413"/>
      <c r="I192" s="478" t="s">
        <v>1099</v>
      </c>
      <c r="J192" s="478"/>
      <c r="K192" s="478"/>
      <c r="L192" s="414">
        <f>SUM(L194+L198)</f>
        <v>8695.09</v>
      </c>
      <c r="M192" s="414">
        <f>SUM(M194+M198)</f>
        <v>9454.7999999999993</v>
      </c>
      <c r="N192" s="414">
        <f>SUM(N194+N198)</f>
        <v>27000</v>
      </c>
      <c r="O192" s="414">
        <f>SUM(O194+O198)</f>
        <v>13500</v>
      </c>
      <c r="P192" s="414">
        <f>SUM(P194+P198)</f>
        <v>9454.7999999999993</v>
      </c>
      <c r="Q192" s="415">
        <f t="shared" ref="Q192:Q200" si="41">IFERROR(SUM(P192/L192),0)</f>
        <v>1.0873722986191057</v>
      </c>
      <c r="R192" s="415">
        <f t="shared" ref="R192:R200" si="42">IFERROR(SUM(P192/M192),0)</f>
        <v>1</v>
      </c>
      <c r="S192" s="415">
        <f t="shared" ref="S192:S200" si="43">IFERROR(SUM(P192/O192),0)</f>
        <v>0.70035555555555551</v>
      </c>
      <c r="T192" s="416"/>
      <c r="U192" s="417"/>
      <c r="V192" s="417"/>
      <c r="W192" s="417"/>
      <c r="X192" s="417"/>
      <c r="Y192" s="417"/>
      <c r="Z192" s="417"/>
      <c r="AA192" s="417"/>
      <c r="AB192" s="417"/>
    </row>
    <row r="193" spans="1:28" s="322" customFormat="1" ht="21" thickTop="1" x14ac:dyDescent="0.3">
      <c r="A193" s="394"/>
      <c r="B193" s="472" t="s">
        <v>982</v>
      </c>
      <c r="C193" s="472"/>
      <c r="D193" s="472"/>
      <c r="E193" s="472"/>
      <c r="F193" s="472"/>
      <c r="G193" s="472"/>
      <c r="H193" s="472"/>
      <c r="I193" s="472"/>
      <c r="J193" s="472"/>
      <c r="K193" s="472"/>
      <c r="L193" s="379"/>
      <c r="M193" s="379"/>
      <c r="N193" s="379"/>
      <c r="O193" s="379"/>
      <c r="P193" s="379"/>
      <c r="Q193" s="380">
        <f t="shared" si="41"/>
        <v>0</v>
      </c>
      <c r="R193" s="380">
        <f t="shared" si="42"/>
        <v>0</v>
      </c>
      <c r="S193" s="380">
        <f t="shared" si="43"/>
        <v>0</v>
      </c>
      <c r="T193" s="381"/>
      <c r="U193" s="357"/>
      <c r="V193" s="357"/>
      <c r="W193" s="357"/>
      <c r="X193" s="357"/>
      <c r="Y193" s="357"/>
      <c r="Z193" s="357"/>
      <c r="AA193" s="357"/>
      <c r="AB193" s="357"/>
    </row>
    <row r="194" spans="1:28" s="322" customFormat="1" x14ac:dyDescent="0.3">
      <c r="A194" s="394"/>
      <c r="B194" s="472">
        <v>4</v>
      </c>
      <c r="C194" s="472"/>
      <c r="D194" s="472"/>
      <c r="E194" s="472"/>
      <c r="F194" s="472"/>
      <c r="G194" s="472"/>
      <c r="H194" s="472"/>
      <c r="I194" s="472"/>
      <c r="J194" s="395"/>
      <c r="K194" s="273" t="s">
        <v>11</v>
      </c>
      <c r="L194" s="379">
        <f>SUM(L195)</f>
        <v>0</v>
      </c>
      <c r="M194" s="379">
        <f t="shared" ref="M194:P195" si="44">SUM(M195)</f>
        <v>0</v>
      </c>
      <c r="N194" s="379">
        <f t="shared" si="44"/>
        <v>13500</v>
      </c>
      <c r="O194" s="379">
        <f t="shared" si="44"/>
        <v>0</v>
      </c>
      <c r="P194" s="379">
        <f t="shared" si="44"/>
        <v>0</v>
      </c>
      <c r="Q194" s="380">
        <f t="shared" si="41"/>
        <v>0</v>
      </c>
      <c r="R194" s="380">
        <f t="shared" si="42"/>
        <v>0</v>
      </c>
      <c r="S194" s="380">
        <f t="shared" si="43"/>
        <v>0</v>
      </c>
      <c r="T194" s="381"/>
      <c r="U194" s="357"/>
      <c r="V194" s="357"/>
      <c r="W194" s="357"/>
      <c r="X194" s="357"/>
      <c r="Y194" s="357"/>
      <c r="Z194" s="357"/>
      <c r="AA194" s="357"/>
      <c r="AB194" s="357"/>
    </row>
    <row r="195" spans="1:28" s="322" customFormat="1" x14ac:dyDescent="0.3">
      <c r="A195" s="394"/>
      <c r="B195" s="472">
        <v>42</v>
      </c>
      <c r="C195" s="472"/>
      <c r="D195" s="472"/>
      <c r="E195" s="472"/>
      <c r="F195" s="472"/>
      <c r="G195" s="472"/>
      <c r="H195" s="472"/>
      <c r="I195" s="472"/>
      <c r="J195" s="395"/>
      <c r="K195" s="273" t="s">
        <v>23</v>
      </c>
      <c r="L195" s="379">
        <f>SUM(L196)</f>
        <v>0</v>
      </c>
      <c r="M195" s="379">
        <f t="shared" si="44"/>
        <v>0</v>
      </c>
      <c r="N195" s="379">
        <f t="shared" si="44"/>
        <v>13500</v>
      </c>
      <c r="O195" s="379">
        <f t="shared" si="44"/>
        <v>0</v>
      </c>
      <c r="P195" s="379">
        <f t="shared" si="44"/>
        <v>0</v>
      </c>
      <c r="Q195" s="380">
        <f t="shared" si="41"/>
        <v>0</v>
      </c>
      <c r="R195" s="380">
        <f t="shared" si="42"/>
        <v>0</v>
      </c>
      <c r="S195" s="380">
        <f t="shared" si="43"/>
        <v>0</v>
      </c>
      <c r="T195" s="381"/>
      <c r="U195" s="357"/>
      <c r="V195" s="357"/>
      <c r="W195" s="357"/>
      <c r="X195" s="357"/>
      <c r="Y195" s="357"/>
      <c r="Z195" s="357"/>
      <c r="AA195" s="357"/>
      <c r="AB195" s="357"/>
    </row>
    <row r="196" spans="1:28" s="336" customFormat="1" x14ac:dyDescent="0.3">
      <c r="A196" s="386"/>
      <c r="B196" s="471">
        <v>421</v>
      </c>
      <c r="C196" s="471"/>
      <c r="D196" s="471"/>
      <c r="E196" s="471"/>
      <c r="F196" s="471"/>
      <c r="G196" s="471"/>
      <c r="H196" s="471"/>
      <c r="I196" s="471"/>
      <c r="J196" s="388" t="s">
        <v>983</v>
      </c>
      <c r="K196" s="336" t="s">
        <v>982</v>
      </c>
      <c r="L196" s="389">
        <f>SUM('RASHODI ZA VIJEĆE'!E367)</f>
        <v>0</v>
      </c>
      <c r="M196" s="389">
        <f>SUM('RASHODI ZA VIJEĆE'!F367)</f>
        <v>0</v>
      </c>
      <c r="N196" s="389">
        <f>SUM('RASHODI ZA VIJEĆE'!G367)</f>
        <v>13500</v>
      </c>
      <c r="O196" s="389">
        <f>SUM('RASHODI ZA VIJEĆE'!H367)</f>
        <v>0</v>
      </c>
      <c r="P196" s="389">
        <f>SUM('RASHODI ZA VIJEĆE'!I367)</f>
        <v>0</v>
      </c>
      <c r="Q196" s="390">
        <f t="shared" si="41"/>
        <v>0</v>
      </c>
      <c r="R196" s="390">
        <f t="shared" si="42"/>
        <v>0</v>
      </c>
      <c r="S196" s="390">
        <f t="shared" si="43"/>
        <v>0</v>
      </c>
      <c r="T196" s="391"/>
      <c r="U196" s="392"/>
      <c r="V196" s="392"/>
      <c r="W196" s="392"/>
      <c r="X196" s="392"/>
      <c r="Y196" s="392"/>
      <c r="Z196" s="392"/>
      <c r="AA196" s="392"/>
      <c r="AB196" s="392"/>
    </row>
    <row r="197" spans="1:28" s="336" customFormat="1" x14ac:dyDescent="0.3">
      <c r="A197" s="386"/>
      <c r="B197" s="474" t="s">
        <v>86</v>
      </c>
      <c r="C197" s="474"/>
      <c r="D197" s="474"/>
      <c r="E197" s="474"/>
      <c r="F197" s="474"/>
      <c r="G197" s="474"/>
      <c r="H197" s="474"/>
      <c r="I197" s="474"/>
      <c r="J197" s="474"/>
      <c r="K197" s="474"/>
      <c r="L197" s="419"/>
      <c r="M197" s="419"/>
      <c r="N197" s="419"/>
      <c r="O197" s="419"/>
      <c r="P197" s="419"/>
      <c r="Q197" s="420">
        <f t="shared" si="41"/>
        <v>0</v>
      </c>
      <c r="R197" s="420">
        <f t="shared" si="42"/>
        <v>0</v>
      </c>
      <c r="S197" s="420">
        <f t="shared" si="43"/>
        <v>0</v>
      </c>
      <c r="T197" s="406"/>
      <c r="U197" s="392"/>
      <c r="V197" s="392"/>
      <c r="W197" s="392"/>
      <c r="X197" s="392"/>
      <c r="Y197" s="392"/>
      <c r="Z197" s="392"/>
      <c r="AA197" s="392"/>
      <c r="AB197" s="392"/>
    </row>
    <row r="198" spans="1:28" s="322" customFormat="1" x14ac:dyDescent="0.3">
      <c r="A198" s="394"/>
      <c r="B198" s="472">
        <v>4</v>
      </c>
      <c r="C198" s="472"/>
      <c r="D198" s="472"/>
      <c r="E198" s="472"/>
      <c r="F198" s="472"/>
      <c r="G198" s="472"/>
      <c r="H198" s="472"/>
      <c r="I198" s="472"/>
      <c r="J198" s="395"/>
      <c r="K198" s="273" t="s">
        <v>11</v>
      </c>
      <c r="L198" s="379">
        <f t="shared" ref="L198:P199" si="45">SUM(L199)</f>
        <v>8695.09</v>
      </c>
      <c r="M198" s="379">
        <f t="shared" si="45"/>
        <v>9454.7999999999993</v>
      </c>
      <c r="N198" s="379">
        <f t="shared" si="45"/>
        <v>13500</v>
      </c>
      <c r="O198" s="379">
        <f t="shared" si="45"/>
        <v>13500</v>
      </c>
      <c r="P198" s="379">
        <f t="shared" si="45"/>
        <v>9454.7999999999993</v>
      </c>
      <c r="Q198" s="380">
        <f t="shared" si="41"/>
        <v>1.0873722986191057</v>
      </c>
      <c r="R198" s="380">
        <f t="shared" si="42"/>
        <v>1</v>
      </c>
      <c r="S198" s="380">
        <f t="shared" si="43"/>
        <v>0.70035555555555551</v>
      </c>
      <c r="T198" s="381"/>
      <c r="U198" s="357"/>
      <c r="V198" s="357"/>
      <c r="W198" s="357"/>
      <c r="X198" s="357"/>
      <c r="Y198" s="357"/>
      <c r="Z198" s="357"/>
      <c r="AA198" s="357"/>
      <c r="AB198" s="357"/>
    </row>
    <row r="199" spans="1:28" s="322" customFormat="1" x14ac:dyDescent="0.3">
      <c r="A199" s="394"/>
      <c r="B199" s="472">
        <v>42</v>
      </c>
      <c r="C199" s="472"/>
      <c r="D199" s="472"/>
      <c r="E199" s="472"/>
      <c r="F199" s="472"/>
      <c r="G199" s="472"/>
      <c r="H199" s="472"/>
      <c r="I199" s="472"/>
      <c r="J199" s="395"/>
      <c r="K199" s="273" t="s">
        <v>23</v>
      </c>
      <c r="L199" s="379">
        <f t="shared" si="45"/>
        <v>8695.09</v>
      </c>
      <c r="M199" s="379">
        <f t="shared" si="45"/>
        <v>9454.7999999999993</v>
      </c>
      <c r="N199" s="379">
        <f t="shared" si="45"/>
        <v>13500</v>
      </c>
      <c r="O199" s="379">
        <f t="shared" si="45"/>
        <v>13500</v>
      </c>
      <c r="P199" s="379">
        <f t="shared" si="45"/>
        <v>9454.7999999999993</v>
      </c>
      <c r="Q199" s="380">
        <f t="shared" si="41"/>
        <v>1.0873722986191057</v>
      </c>
      <c r="R199" s="380">
        <f t="shared" si="42"/>
        <v>1</v>
      </c>
      <c r="S199" s="380">
        <f t="shared" si="43"/>
        <v>0.70035555555555551</v>
      </c>
      <c r="T199" s="381"/>
      <c r="U199" s="357"/>
      <c r="V199" s="357"/>
      <c r="W199" s="357"/>
      <c r="X199" s="357"/>
      <c r="Y199" s="357"/>
      <c r="Z199" s="357"/>
      <c r="AA199" s="357"/>
      <c r="AB199" s="357"/>
    </row>
    <row r="200" spans="1:28" s="336" customFormat="1" x14ac:dyDescent="0.3">
      <c r="A200" s="386">
        <v>89</v>
      </c>
      <c r="B200" s="471">
        <v>421</v>
      </c>
      <c r="C200" s="471"/>
      <c r="D200" s="471"/>
      <c r="E200" s="471"/>
      <c r="F200" s="471"/>
      <c r="G200" s="471"/>
      <c r="H200" s="471"/>
      <c r="I200" s="471"/>
      <c r="J200" s="388" t="s">
        <v>511</v>
      </c>
      <c r="K200" s="336" t="s">
        <v>86</v>
      </c>
      <c r="L200" s="389">
        <f>SUM('RASHODI ZA VIJEĆE'!E368)</f>
        <v>8695.09</v>
      </c>
      <c r="M200" s="389">
        <f>SUM('RASHODI ZA VIJEĆE'!F368)</f>
        <v>9454.7999999999993</v>
      </c>
      <c r="N200" s="389">
        <f>SUM('RASHODI ZA VIJEĆE'!G368)</f>
        <v>13500</v>
      </c>
      <c r="O200" s="389">
        <f>SUM('RASHODI ZA VIJEĆE'!H368)</f>
        <v>13500</v>
      </c>
      <c r="P200" s="389">
        <f>SUM('RASHODI ZA VIJEĆE'!I368)</f>
        <v>9454.7999999999993</v>
      </c>
      <c r="Q200" s="390">
        <f t="shared" si="41"/>
        <v>1.0873722986191057</v>
      </c>
      <c r="R200" s="390">
        <f t="shared" si="42"/>
        <v>1</v>
      </c>
      <c r="S200" s="390">
        <f t="shared" si="43"/>
        <v>0.70035555555555551</v>
      </c>
      <c r="T200" s="391">
        <v>330</v>
      </c>
      <c r="U200" s="392"/>
      <c r="V200" s="392"/>
      <c r="W200" s="392"/>
      <c r="X200" s="392"/>
      <c r="Y200" s="392"/>
      <c r="Z200" s="392"/>
      <c r="AA200" s="392"/>
      <c r="AB200" s="392"/>
    </row>
    <row r="201" spans="1:28" s="336" customFormat="1" x14ac:dyDescent="0.3">
      <c r="A201" s="386"/>
      <c r="B201" s="387"/>
      <c r="C201" s="387"/>
      <c r="D201" s="387"/>
      <c r="E201" s="387"/>
      <c r="F201" s="387"/>
      <c r="G201" s="387"/>
      <c r="H201" s="387"/>
      <c r="I201" s="387"/>
      <c r="J201" s="388"/>
      <c r="L201" s="389"/>
      <c r="M201" s="389"/>
      <c r="N201" s="389"/>
      <c r="O201" s="389"/>
      <c r="P201" s="389"/>
      <c r="Q201" s="390"/>
      <c r="R201" s="390"/>
      <c r="S201" s="390"/>
      <c r="T201" s="391"/>
      <c r="U201" s="392"/>
      <c r="V201" s="392"/>
      <c r="W201" s="392"/>
      <c r="X201" s="392"/>
      <c r="Y201" s="392"/>
      <c r="Z201" s="392"/>
      <c r="AA201" s="392"/>
      <c r="AB201" s="392"/>
    </row>
    <row r="202" spans="1:28" s="374" customFormat="1" ht="21" thickBot="1" x14ac:dyDescent="0.35">
      <c r="A202" s="400"/>
      <c r="B202" s="376">
        <v>1</v>
      </c>
      <c r="C202" s="376"/>
      <c r="D202" s="376">
        <v>3</v>
      </c>
      <c r="E202" s="376">
        <v>4</v>
      </c>
      <c r="F202" s="376"/>
      <c r="G202" s="376"/>
      <c r="H202" s="376"/>
      <c r="I202" s="355" t="s">
        <v>1100</v>
      </c>
      <c r="J202" s="401"/>
      <c r="K202" s="355"/>
      <c r="L202" s="403">
        <f>SUM(L204)</f>
        <v>0</v>
      </c>
      <c r="M202" s="403">
        <f>SUM(M204)</f>
        <v>86149.24</v>
      </c>
      <c r="N202" s="403">
        <f>SUM(N204)</f>
        <v>100000</v>
      </c>
      <c r="O202" s="403">
        <f>SUM(O204)</f>
        <v>150000</v>
      </c>
      <c r="P202" s="403">
        <f>SUM(P204)</f>
        <v>86149.24</v>
      </c>
      <c r="Q202" s="404">
        <f>IFERROR(SUM(P202/L202),0)</f>
        <v>0</v>
      </c>
      <c r="R202" s="404">
        <f>IFERROR(SUM(P202/M202),0)</f>
        <v>1</v>
      </c>
      <c r="S202" s="404">
        <f>IFERROR(SUM(P202/O202),0)</f>
        <v>0.5743282666666667</v>
      </c>
      <c r="T202" s="375"/>
      <c r="U202" s="373"/>
      <c r="V202" s="373"/>
      <c r="W202" s="373"/>
      <c r="X202" s="373"/>
      <c r="Y202" s="373"/>
      <c r="Z202" s="373"/>
      <c r="AA202" s="373"/>
      <c r="AB202" s="373"/>
    </row>
    <row r="203" spans="1:28" s="322" customFormat="1" ht="21" thickTop="1" x14ac:dyDescent="0.3">
      <c r="A203" s="394"/>
      <c r="B203" s="472" t="s">
        <v>822</v>
      </c>
      <c r="C203" s="472"/>
      <c r="D203" s="472"/>
      <c r="E203" s="472"/>
      <c r="F203" s="472"/>
      <c r="G203" s="472"/>
      <c r="H203" s="472"/>
      <c r="I203" s="472"/>
      <c r="J203" s="472"/>
      <c r="K203" s="472"/>
      <c r="L203" s="379"/>
      <c r="M203" s="379"/>
      <c r="N203" s="379"/>
      <c r="O203" s="379"/>
      <c r="P203" s="379"/>
      <c r="Q203" s="380"/>
      <c r="R203" s="380"/>
      <c r="S203" s="380"/>
      <c r="T203" s="381"/>
      <c r="U203" s="357"/>
      <c r="V203" s="357"/>
      <c r="W203" s="357"/>
      <c r="X203" s="357"/>
      <c r="Y203" s="357"/>
      <c r="Z203" s="357"/>
      <c r="AA203" s="357"/>
      <c r="AB203" s="357"/>
    </row>
    <row r="204" spans="1:28" s="322" customFormat="1" x14ac:dyDescent="0.3">
      <c r="A204" s="394"/>
      <c r="B204" s="472">
        <v>4</v>
      </c>
      <c r="C204" s="472"/>
      <c r="D204" s="472"/>
      <c r="E204" s="472"/>
      <c r="F204" s="472"/>
      <c r="G204" s="472"/>
      <c r="H204" s="472"/>
      <c r="I204" s="472"/>
      <c r="J204" s="395"/>
      <c r="K204" s="273" t="s">
        <v>11</v>
      </c>
      <c r="L204" s="379">
        <f t="shared" ref="L204:P205" si="46">SUM(L205)</f>
        <v>0</v>
      </c>
      <c r="M204" s="379">
        <f t="shared" si="46"/>
        <v>86149.24</v>
      </c>
      <c r="N204" s="379">
        <f t="shared" si="46"/>
        <v>100000</v>
      </c>
      <c r="O204" s="379">
        <f t="shared" si="46"/>
        <v>150000</v>
      </c>
      <c r="P204" s="379">
        <f t="shared" si="46"/>
        <v>86149.24</v>
      </c>
      <c r="Q204" s="380">
        <f>IFERROR(SUM(P204/L204),0)</f>
        <v>0</v>
      </c>
      <c r="R204" s="380">
        <f>IFERROR(SUM(P204/M204),0)</f>
        <v>1</v>
      </c>
      <c r="S204" s="380">
        <f>IFERROR(SUM(P204/O204),0)</f>
        <v>0.5743282666666667</v>
      </c>
      <c r="T204" s="381"/>
      <c r="U204" s="357"/>
      <c r="V204" s="357"/>
      <c r="W204" s="357"/>
      <c r="X204" s="357"/>
      <c r="Y204" s="357"/>
      <c r="Z204" s="357"/>
      <c r="AA204" s="357"/>
      <c r="AB204" s="357"/>
    </row>
    <row r="205" spans="1:28" s="322" customFormat="1" x14ac:dyDescent="0.3">
      <c r="A205" s="394"/>
      <c r="B205" s="472">
        <v>42</v>
      </c>
      <c r="C205" s="472"/>
      <c r="D205" s="472"/>
      <c r="E205" s="472"/>
      <c r="F205" s="472"/>
      <c r="G205" s="472"/>
      <c r="H205" s="472"/>
      <c r="I205" s="472"/>
      <c r="J205" s="395"/>
      <c r="K205" s="273" t="s">
        <v>23</v>
      </c>
      <c r="L205" s="379">
        <f t="shared" si="46"/>
        <v>0</v>
      </c>
      <c r="M205" s="379">
        <f t="shared" si="46"/>
        <v>86149.24</v>
      </c>
      <c r="N205" s="379">
        <f t="shared" si="46"/>
        <v>100000</v>
      </c>
      <c r="O205" s="379">
        <f t="shared" si="46"/>
        <v>150000</v>
      </c>
      <c r="P205" s="379">
        <f t="shared" si="46"/>
        <v>86149.24</v>
      </c>
      <c r="Q205" s="380">
        <f>IFERROR(SUM(P205/L205),0)</f>
        <v>0</v>
      </c>
      <c r="R205" s="380">
        <f>IFERROR(SUM(P205/M205),0)</f>
        <v>1</v>
      </c>
      <c r="S205" s="380">
        <f>IFERROR(SUM(P205/O205),0)</f>
        <v>0.5743282666666667</v>
      </c>
      <c r="T205" s="381"/>
      <c r="U205" s="357"/>
      <c r="V205" s="357"/>
      <c r="W205" s="357"/>
      <c r="X205" s="357"/>
      <c r="Y205" s="357"/>
      <c r="Z205" s="357"/>
      <c r="AA205" s="357"/>
      <c r="AB205" s="357"/>
    </row>
    <row r="206" spans="1:28" s="336" customFormat="1" x14ac:dyDescent="0.3">
      <c r="A206" s="386">
        <v>90</v>
      </c>
      <c r="B206" s="471">
        <v>421</v>
      </c>
      <c r="C206" s="471"/>
      <c r="D206" s="471"/>
      <c r="E206" s="471"/>
      <c r="F206" s="471"/>
      <c r="G206" s="471"/>
      <c r="H206" s="471"/>
      <c r="I206" s="471"/>
      <c r="J206" s="388" t="s">
        <v>517</v>
      </c>
      <c r="K206" s="336" t="s">
        <v>53</v>
      </c>
      <c r="L206" s="389">
        <f>SUM('RASHODI ZA VIJEĆE'!E363)</f>
        <v>0</v>
      </c>
      <c r="M206" s="389">
        <f>SUM('RASHODI ZA VIJEĆE'!F363)</f>
        <v>86149.24</v>
      </c>
      <c r="N206" s="389">
        <f>SUM('RASHODI ZA VIJEĆE'!G363)</f>
        <v>100000</v>
      </c>
      <c r="O206" s="389">
        <f>SUM('RASHODI ZA VIJEĆE'!H363)</f>
        <v>150000</v>
      </c>
      <c r="P206" s="389">
        <f>SUM('RASHODI ZA VIJEĆE'!I363)</f>
        <v>86149.24</v>
      </c>
      <c r="Q206" s="390">
        <f>IFERROR(SUM(P206/L206),0)</f>
        <v>0</v>
      </c>
      <c r="R206" s="390">
        <f>IFERROR(SUM(P206/M206),0)</f>
        <v>1</v>
      </c>
      <c r="S206" s="390">
        <f>IFERROR(SUM(P206/O206),0)</f>
        <v>0.5743282666666667</v>
      </c>
      <c r="T206" s="391">
        <v>327</v>
      </c>
      <c r="U206" s="392"/>
      <c r="V206" s="392"/>
      <c r="W206" s="392"/>
      <c r="X206" s="392"/>
      <c r="Y206" s="392"/>
      <c r="Z206" s="392"/>
      <c r="AA206" s="392"/>
      <c r="AB206" s="392"/>
    </row>
    <row r="207" spans="1:28" s="336" customFormat="1" x14ac:dyDescent="0.3">
      <c r="A207" s="386"/>
      <c r="B207" s="387"/>
      <c r="C207" s="387"/>
      <c r="D207" s="387"/>
      <c r="E207" s="387"/>
      <c r="F207" s="387"/>
      <c r="G207" s="387"/>
      <c r="H207" s="387"/>
      <c r="I207" s="387"/>
      <c r="J207" s="388"/>
      <c r="L207" s="389"/>
      <c r="M207" s="389"/>
      <c r="N207" s="389"/>
      <c r="O207" s="389"/>
      <c r="P207" s="389"/>
      <c r="Q207" s="390"/>
      <c r="R207" s="390"/>
      <c r="S207" s="390"/>
      <c r="T207" s="391"/>
      <c r="U207" s="392"/>
      <c r="V207" s="392"/>
      <c r="W207" s="392"/>
      <c r="X207" s="392"/>
      <c r="Y207" s="392"/>
      <c r="Z207" s="392"/>
      <c r="AA207" s="392"/>
      <c r="AB207" s="392"/>
    </row>
    <row r="208" spans="1:28" s="374" customFormat="1" ht="21" thickBot="1" x14ac:dyDescent="0.35">
      <c r="A208" s="400"/>
      <c r="B208" s="376">
        <v>1</v>
      </c>
      <c r="C208" s="376"/>
      <c r="D208" s="376">
        <v>3</v>
      </c>
      <c r="E208" s="376">
        <v>4</v>
      </c>
      <c r="F208" s="376"/>
      <c r="G208" s="376"/>
      <c r="H208" s="376"/>
      <c r="I208" s="355" t="s">
        <v>1101</v>
      </c>
      <c r="J208" s="401"/>
      <c r="K208" s="355"/>
      <c r="L208" s="403">
        <f>SUM(L210)</f>
        <v>0</v>
      </c>
      <c r="M208" s="403">
        <f>SUM(M210)</f>
        <v>0</v>
      </c>
      <c r="N208" s="403">
        <f>SUM(N210)</f>
        <v>120000</v>
      </c>
      <c r="O208" s="403">
        <f>SUM(O210)</f>
        <v>0</v>
      </c>
      <c r="P208" s="403">
        <f>SUM(P210)</f>
        <v>0</v>
      </c>
      <c r="Q208" s="404">
        <f>IFERROR(SUM(P208/L208),0)</f>
        <v>0</v>
      </c>
      <c r="R208" s="404">
        <f>IFERROR(SUM(P208/M208),0)</f>
        <v>0</v>
      </c>
      <c r="S208" s="404">
        <f>IFERROR(SUM(P208/O208),0)</f>
        <v>0</v>
      </c>
      <c r="T208" s="375"/>
      <c r="U208" s="373"/>
      <c r="V208" s="373"/>
      <c r="W208" s="373"/>
      <c r="X208" s="373"/>
      <c r="Y208" s="373"/>
      <c r="Z208" s="373"/>
      <c r="AA208" s="373"/>
      <c r="AB208" s="373"/>
    </row>
    <row r="209" spans="1:28" s="322" customFormat="1" ht="21" thickTop="1" x14ac:dyDescent="0.3">
      <c r="A209" s="394"/>
      <c r="B209" s="472" t="s">
        <v>824</v>
      </c>
      <c r="C209" s="472"/>
      <c r="D209" s="472"/>
      <c r="E209" s="472"/>
      <c r="F209" s="472"/>
      <c r="G209" s="472"/>
      <c r="H209" s="472"/>
      <c r="I209" s="472"/>
      <c r="J209" s="472"/>
      <c r="K209" s="472"/>
      <c r="L209" s="398"/>
      <c r="M209" s="398"/>
      <c r="N209" s="398"/>
      <c r="O209" s="398"/>
      <c r="P209" s="398"/>
      <c r="Q209" s="380"/>
      <c r="R209" s="380"/>
      <c r="S209" s="380"/>
      <c r="T209" s="396"/>
      <c r="U209" s="357"/>
      <c r="V209" s="357"/>
      <c r="W209" s="357"/>
      <c r="X209" s="357"/>
      <c r="Y209" s="357"/>
      <c r="Z209" s="357"/>
      <c r="AA209" s="357"/>
      <c r="AB209" s="357"/>
    </row>
    <row r="210" spans="1:28" s="322" customFormat="1" x14ac:dyDescent="0.3">
      <c r="A210" s="394"/>
      <c r="B210" s="472">
        <v>4</v>
      </c>
      <c r="C210" s="472"/>
      <c r="D210" s="472"/>
      <c r="E210" s="472"/>
      <c r="F210" s="472"/>
      <c r="G210" s="472"/>
      <c r="H210" s="472"/>
      <c r="I210" s="472"/>
      <c r="J210" s="395"/>
      <c r="K210" s="273" t="s">
        <v>11</v>
      </c>
      <c r="L210" s="379">
        <f>SUM(L211)</f>
        <v>0</v>
      </c>
      <c r="M210" s="379">
        <f>SUM(M211)</f>
        <v>0</v>
      </c>
      <c r="N210" s="379">
        <f>SUM(N211)</f>
        <v>120000</v>
      </c>
      <c r="O210" s="379">
        <f>SUM(O211)</f>
        <v>0</v>
      </c>
      <c r="P210" s="379">
        <f>SUM(P211)</f>
        <v>0</v>
      </c>
      <c r="Q210" s="380">
        <f>IFERROR(SUM(P210/L210),0)</f>
        <v>0</v>
      </c>
      <c r="R210" s="380">
        <f>IFERROR(SUM(P210/M210),0)</f>
        <v>0</v>
      </c>
      <c r="S210" s="380">
        <f>IFERROR(SUM(P210/O210),0)</f>
        <v>0</v>
      </c>
      <c r="T210" s="396"/>
      <c r="U210" s="357"/>
      <c r="V210" s="357"/>
      <c r="W210" s="357"/>
      <c r="X210" s="357"/>
      <c r="Y210" s="357"/>
      <c r="Z210" s="357"/>
      <c r="AA210" s="357"/>
      <c r="AB210" s="357"/>
    </row>
    <row r="211" spans="1:28" s="322" customFormat="1" x14ac:dyDescent="0.3">
      <c r="A211" s="394"/>
      <c r="B211" s="472">
        <v>42</v>
      </c>
      <c r="C211" s="472"/>
      <c r="D211" s="472"/>
      <c r="E211" s="472"/>
      <c r="F211" s="472"/>
      <c r="G211" s="472"/>
      <c r="H211" s="472"/>
      <c r="I211" s="472"/>
      <c r="J211" s="395"/>
      <c r="K211" s="273" t="s">
        <v>23</v>
      </c>
      <c r="L211" s="379">
        <f>SUM(L212:L214)</f>
        <v>0</v>
      </c>
      <c r="M211" s="379">
        <f>SUM(M212:M214)</f>
        <v>0</v>
      </c>
      <c r="N211" s="379">
        <f>SUM(N212:N214)</f>
        <v>120000</v>
      </c>
      <c r="O211" s="379">
        <f>SUM(O212:O214)</f>
        <v>0</v>
      </c>
      <c r="P211" s="379">
        <f>SUM(P212:P214)</f>
        <v>0</v>
      </c>
      <c r="Q211" s="380">
        <f>IFERROR(SUM(P211/L211),0)</f>
        <v>0</v>
      </c>
      <c r="R211" s="380">
        <f>IFERROR(SUM(P211/M211),0)</f>
        <v>0</v>
      </c>
      <c r="S211" s="380">
        <f>IFERROR(SUM(P211/O211),0)</f>
        <v>0</v>
      </c>
      <c r="T211" s="396"/>
      <c r="U211" s="357"/>
      <c r="V211" s="357"/>
      <c r="W211" s="357"/>
      <c r="X211" s="357"/>
      <c r="Y211" s="357"/>
      <c r="Z211" s="357"/>
      <c r="AA211" s="357"/>
      <c r="AB211" s="357"/>
    </row>
    <row r="212" spans="1:28" s="336" customFormat="1" x14ac:dyDescent="0.3">
      <c r="A212" s="386">
        <v>91</v>
      </c>
      <c r="B212" s="471">
        <v>421</v>
      </c>
      <c r="C212" s="471"/>
      <c r="D212" s="471"/>
      <c r="E212" s="471"/>
      <c r="F212" s="471"/>
      <c r="G212" s="471"/>
      <c r="H212" s="471"/>
      <c r="I212" s="471"/>
      <c r="J212" s="388" t="s">
        <v>508</v>
      </c>
      <c r="K212" s="336" t="s">
        <v>87</v>
      </c>
      <c r="L212" s="389">
        <f>SUM('RASHODI ZA VIJEĆE'!E351)</f>
        <v>0</v>
      </c>
      <c r="M212" s="389">
        <f>SUM('RASHODI ZA VIJEĆE'!F351)</f>
        <v>0</v>
      </c>
      <c r="N212" s="389">
        <f>SUM('RASHODI ZA VIJEĆE'!G351)</f>
        <v>70000</v>
      </c>
      <c r="O212" s="389">
        <f>SUM('RASHODI ZA VIJEĆE'!H351)</f>
        <v>0</v>
      </c>
      <c r="P212" s="389">
        <f>SUM('RASHODI ZA VIJEĆE'!I351)</f>
        <v>0</v>
      </c>
      <c r="Q212" s="390">
        <f>IFERROR(SUM(P212/L212),0)</f>
        <v>0</v>
      </c>
      <c r="R212" s="390">
        <f>IFERROR(SUM(P212/M212),0)</f>
        <v>0</v>
      </c>
      <c r="S212" s="390">
        <f>IFERROR(SUM(P212/O212),0)</f>
        <v>0</v>
      </c>
      <c r="T212" s="391">
        <v>319</v>
      </c>
      <c r="U212" s="392"/>
      <c r="V212" s="392"/>
      <c r="W212" s="392"/>
      <c r="X212" s="392"/>
      <c r="Y212" s="392"/>
      <c r="Z212" s="392"/>
      <c r="AA212" s="393"/>
      <c r="AB212" s="392"/>
    </row>
    <row r="213" spans="1:28" s="336" customFormat="1" x14ac:dyDescent="0.3">
      <c r="A213" s="386">
        <v>92</v>
      </c>
      <c r="B213" s="471">
        <v>421</v>
      </c>
      <c r="C213" s="471"/>
      <c r="D213" s="471"/>
      <c r="E213" s="471"/>
      <c r="F213" s="471"/>
      <c r="G213" s="471"/>
      <c r="H213" s="471"/>
      <c r="I213" s="471"/>
      <c r="J213" s="388" t="s">
        <v>508</v>
      </c>
      <c r="K213" s="397" t="s">
        <v>803</v>
      </c>
      <c r="L213" s="389">
        <f>SUM('RASHODI ZA VIJEĆE'!E353)</f>
        <v>0</v>
      </c>
      <c r="M213" s="389">
        <f>SUM('RASHODI ZA VIJEĆE'!F353)</f>
        <v>0</v>
      </c>
      <c r="N213" s="389">
        <f>SUM('RASHODI ZA VIJEĆE'!G353)</f>
        <v>0</v>
      </c>
      <c r="O213" s="389">
        <f>SUM('RASHODI ZA VIJEĆE'!H353)</f>
        <v>0</v>
      </c>
      <c r="P213" s="389">
        <f>SUM('RASHODI ZA VIJEĆE'!I353)</f>
        <v>0</v>
      </c>
      <c r="Q213" s="390">
        <f>IFERROR(SUM(P213/L213),0)</f>
        <v>0</v>
      </c>
      <c r="R213" s="390">
        <f>IFERROR(SUM(P213/M213),0)</f>
        <v>0</v>
      </c>
      <c r="S213" s="390">
        <f>IFERROR(SUM(P213/O213),0)</f>
        <v>0</v>
      </c>
      <c r="T213" s="391"/>
      <c r="U213" s="392"/>
      <c r="V213" s="392"/>
      <c r="W213" s="392"/>
      <c r="X213" s="392"/>
      <c r="Y213" s="392"/>
      <c r="Z213" s="392"/>
      <c r="AA213" s="392"/>
      <c r="AB213" s="392"/>
    </row>
    <row r="214" spans="1:28" s="336" customFormat="1" x14ac:dyDescent="0.3">
      <c r="A214" s="386">
        <v>93</v>
      </c>
      <c r="B214" s="471">
        <v>421</v>
      </c>
      <c r="C214" s="471"/>
      <c r="D214" s="471"/>
      <c r="E214" s="471"/>
      <c r="F214" s="471"/>
      <c r="G214" s="471"/>
      <c r="H214" s="471"/>
      <c r="I214" s="471"/>
      <c r="J214" s="388" t="s">
        <v>508</v>
      </c>
      <c r="K214" s="397" t="s">
        <v>951</v>
      </c>
      <c r="L214" s="389">
        <f>SUM('RASHODI ZA VIJEĆE'!E359)</f>
        <v>0</v>
      </c>
      <c r="M214" s="389">
        <f>SUM('RASHODI ZA VIJEĆE'!F359)</f>
        <v>0</v>
      </c>
      <c r="N214" s="389">
        <f>SUM('RASHODI ZA VIJEĆE'!G359)</f>
        <v>50000</v>
      </c>
      <c r="O214" s="389">
        <f>SUM('RASHODI ZA VIJEĆE'!H359)</f>
        <v>0</v>
      </c>
      <c r="P214" s="389">
        <f>SUM('RASHODI ZA VIJEĆE'!I359)</f>
        <v>0</v>
      </c>
      <c r="Q214" s="390">
        <f>IFERROR(SUM(P214/L214),0)</f>
        <v>0</v>
      </c>
      <c r="R214" s="390">
        <f>IFERROR(SUM(P214/M214),0)</f>
        <v>0</v>
      </c>
      <c r="S214" s="390">
        <f>IFERROR(SUM(P214/O214),0)</f>
        <v>0</v>
      </c>
      <c r="T214" s="391"/>
      <c r="U214" s="392"/>
      <c r="V214" s="392"/>
      <c r="W214" s="392"/>
      <c r="X214" s="392"/>
      <c r="Y214" s="392"/>
      <c r="Z214" s="392"/>
      <c r="AA214" s="392"/>
      <c r="AB214" s="392"/>
    </row>
    <row r="215" spans="1:28" s="336" customFormat="1" x14ac:dyDescent="0.3">
      <c r="A215" s="386"/>
      <c r="B215" s="387"/>
      <c r="C215" s="387"/>
      <c r="D215" s="387"/>
      <c r="E215" s="387"/>
      <c r="F215" s="387"/>
      <c r="G215" s="387"/>
      <c r="H215" s="387"/>
      <c r="I215" s="387"/>
      <c r="J215" s="388"/>
      <c r="K215" s="397"/>
      <c r="L215" s="389"/>
      <c r="M215" s="389"/>
      <c r="N215" s="389"/>
      <c r="O215" s="389"/>
      <c r="P215" s="389"/>
      <c r="Q215" s="390"/>
      <c r="R215" s="390"/>
      <c r="S215" s="420"/>
      <c r="T215" s="391"/>
      <c r="U215" s="392"/>
      <c r="V215" s="392"/>
      <c r="W215" s="392"/>
      <c r="X215" s="392"/>
      <c r="Y215" s="392"/>
      <c r="Z215" s="392"/>
      <c r="AA215" s="392"/>
      <c r="AB215" s="392"/>
    </row>
    <row r="216" spans="1:28" s="374" customFormat="1" ht="21" thickBot="1" x14ac:dyDescent="0.35">
      <c r="A216" s="400"/>
      <c r="B216" s="376">
        <v>1</v>
      </c>
      <c r="C216" s="376"/>
      <c r="D216" s="376"/>
      <c r="E216" s="376"/>
      <c r="F216" s="376"/>
      <c r="G216" s="376"/>
      <c r="H216" s="376"/>
      <c r="I216" s="355" t="s">
        <v>1102</v>
      </c>
      <c r="J216" s="401"/>
      <c r="K216" s="355"/>
      <c r="L216" s="403">
        <f>SUM(L218+L222)</f>
        <v>53681.799999999996</v>
      </c>
      <c r="M216" s="403">
        <f>SUM(M218+M222)</f>
        <v>110017.17</v>
      </c>
      <c r="N216" s="403">
        <f>SUM(N218+N222)</f>
        <v>110000</v>
      </c>
      <c r="O216" s="403">
        <f>SUM(O218+O222)</f>
        <v>115000</v>
      </c>
      <c r="P216" s="403">
        <f>SUM(P218+P222)</f>
        <v>110017.17</v>
      </c>
      <c r="Q216" s="404">
        <f>IFERROR(SUM(P216/L216),0)</f>
        <v>2.0494314646677272</v>
      </c>
      <c r="R216" s="404">
        <f>IFERROR(SUM(P216/M216),0)</f>
        <v>1</v>
      </c>
      <c r="S216" s="404">
        <f>IFERROR(SUM(P216/O216),0)</f>
        <v>0.95667104347826082</v>
      </c>
      <c r="T216" s="375"/>
      <c r="U216" s="373"/>
      <c r="V216" s="373"/>
      <c r="W216" s="373"/>
      <c r="X216" s="373"/>
      <c r="Y216" s="373"/>
      <c r="Z216" s="373"/>
      <c r="AA216" s="372"/>
      <c r="AB216" s="373"/>
    </row>
    <row r="217" spans="1:28" s="322" customFormat="1" ht="21" thickTop="1" x14ac:dyDescent="0.3">
      <c r="A217" s="394"/>
      <c r="B217" s="472" t="s">
        <v>903</v>
      </c>
      <c r="C217" s="472"/>
      <c r="D217" s="472"/>
      <c r="E217" s="472"/>
      <c r="F217" s="472"/>
      <c r="G217" s="472"/>
      <c r="H217" s="472"/>
      <c r="I217" s="472"/>
      <c r="J217" s="472"/>
      <c r="K217" s="472"/>
      <c r="L217" s="398"/>
      <c r="M217" s="398"/>
      <c r="N217" s="398"/>
      <c r="O217" s="398"/>
      <c r="P217" s="398"/>
      <c r="Q217" s="380"/>
      <c r="R217" s="380"/>
      <c r="S217" s="380"/>
      <c r="T217" s="396"/>
      <c r="U217" s="357"/>
      <c r="V217" s="357"/>
      <c r="W217" s="357"/>
      <c r="X217" s="357"/>
      <c r="Y217" s="357"/>
      <c r="Z217" s="357"/>
      <c r="AA217" s="362"/>
      <c r="AB217" s="357"/>
    </row>
    <row r="218" spans="1:28" s="322" customFormat="1" x14ac:dyDescent="0.3">
      <c r="A218" s="394"/>
      <c r="B218" s="472">
        <v>3</v>
      </c>
      <c r="C218" s="472"/>
      <c r="D218" s="472"/>
      <c r="E218" s="472"/>
      <c r="F218" s="472"/>
      <c r="G218" s="472"/>
      <c r="H218" s="472"/>
      <c r="I218" s="472"/>
      <c r="J218" s="395"/>
      <c r="K218" s="273" t="s">
        <v>20</v>
      </c>
      <c r="L218" s="379">
        <f t="shared" ref="L218:P219" si="47">SUM(L219)</f>
        <v>47235.31</v>
      </c>
      <c r="M218" s="379">
        <f t="shared" si="47"/>
        <v>94271.45</v>
      </c>
      <c r="N218" s="379">
        <f t="shared" si="47"/>
        <v>90000</v>
      </c>
      <c r="O218" s="379">
        <f t="shared" si="47"/>
        <v>95000</v>
      </c>
      <c r="P218" s="379">
        <f t="shared" si="47"/>
        <v>94271.45</v>
      </c>
      <c r="Q218" s="380">
        <f>IFERROR(SUM(P218/L218),0)</f>
        <v>1.9957834509819032</v>
      </c>
      <c r="R218" s="380">
        <f>IFERROR(SUM(P218/M218),0)</f>
        <v>1</v>
      </c>
      <c r="S218" s="380">
        <f>IFERROR(SUM(P218/O218),0)</f>
        <v>0.99233105263157895</v>
      </c>
      <c r="T218" s="381"/>
      <c r="U218" s="357"/>
      <c r="V218" s="357"/>
      <c r="W218" s="357"/>
      <c r="X218" s="357"/>
      <c r="Y218" s="357"/>
      <c r="Z218" s="357"/>
      <c r="AA218" s="357"/>
      <c r="AB218" s="357"/>
    </row>
    <row r="219" spans="1:28" s="322" customFormat="1" x14ac:dyDescent="0.3">
      <c r="A219" s="394"/>
      <c r="B219" s="472">
        <v>38</v>
      </c>
      <c r="C219" s="472"/>
      <c r="D219" s="472"/>
      <c r="E219" s="472"/>
      <c r="F219" s="472"/>
      <c r="G219" s="472"/>
      <c r="H219" s="472"/>
      <c r="I219" s="472"/>
      <c r="J219" s="395"/>
      <c r="K219" s="273" t="s">
        <v>22</v>
      </c>
      <c r="L219" s="379">
        <f t="shared" si="47"/>
        <v>47235.31</v>
      </c>
      <c r="M219" s="379">
        <f t="shared" si="47"/>
        <v>94271.45</v>
      </c>
      <c r="N219" s="379">
        <f t="shared" si="47"/>
        <v>90000</v>
      </c>
      <c r="O219" s="379">
        <f t="shared" si="47"/>
        <v>95000</v>
      </c>
      <c r="P219" s="379">
        <f t="shared" si="47"/>
        <v>94271.45</v>
      </c>
      <c r="Q219" s="380">
        <f>IFERROR(SUM(P219/L219),0)</f>
        <v>1.9957834509819032</v>
      </c>
      <c r="R219" s="380">
        <f>IFERROR(SUM(P219/M219),0)</f>
        <v>1</v>
      </c>
      <c r="S219" s="380">
        <f>IFERROR(SUM(P219/O219),0)</f>
        <v>0.99233105263157895</v>
      </c>
      <c r="T219" s="381"/>
      <c r="U219" s="357"/>
      <c r="V219" s="357"/>
      <c r="W219" s="357"/>
      <c r="X219" s="357"/>
      <c r="Y219" s="357"/>
      <c r="Z219" s="357"/>
      <c r="AA219" s="357"/>
      <c r="AB219" s="357"/>
    </row>
    <row r="220" spans="1:28" s="336" customFormat="1" x14ac:dyDescent="0.3">
      <c r="A220" s="386">
        <v>94</v>
      </c>
      <c r="B220" s="471">
        <v>381</v>
      </c>
      <c r="C220" s="471"/>
      <c r="D220" s="471"/>
      <c r="E220" s="471"/>
      <c r="F220" s="471"/>
      <c r="G220" s="471"/>
      <c r="H220" s="471"/>
      <c r="I220" s="471"/>
      <c r="J220" s="388" t="s">
        <v>520</v>
      </c>
      <c r="K220" s="336" t="s">
        <v>390</v>
      </c>
      <c r="L220" s="421">
        <f>SUM('RASHODI ZA VIJEĆE'!E283)</f>
        <v>47235.31</v>
      </c>
      <c r="M220" s="421">
        <f>SUM('RASHODI ZA VIJEĆE'!F283)</f>
        <v>94271.45</v>
      </c>
      <c r="N220" s="421">
        <f>SUM('RASHODI ZA VIJEĆE'!G283)</f>
        <v>90000</v>
      </c>
      <c r="O220" s="421">
        <f>SUM('RASHODI ZA VIJEĆE'!H283)</f>
        <v>95000</v>
      </c>
      <c r="P220" s="421">
        <f>SUM('RASHODI ZA VIJEĆE'!I283)</f>
        <v>94271.45</v>
      </c>
      <c r="Q220" s="390">
        <f>IFERROR(SUM(P220/L220),0)</f>
        <v>1.9957834509819032</v>
      </c>
      <c r="R220" s="390">
        <f>IFERROR(SUM(P220/M220),0)</f>
        <v>1</v>
      </c>
      <c r="S220" s="390">
        <f>IFERROR(SUM(P220/O220),0)</f>
        <v>0.99233105263157895</v>
      </c>
      <c r="T220" s="422">
        <v>268</v>
      </c>
      <c r="U220" s="392"/>
      <c r="V220" s="392"/>
      <c r="W220" s="392"/>
      <c r="X220" s="392"/>
      <c r="Y220" s="392"/>
      <c r="Z220" s="392"/>
      <c r="AA220" s="392"/>
      <c r="AB220" s="392"/>
    </row>
    <row r="221" spans="1:28" s="322" customFormat="1" x14ac:dyDescent="0.3">
      <c r="A221" s="394"/>
      <c r="B221" s="273" t="s">
        <v>902</v>
      </c>
      <c r="C221" s="273"/>
      <c r="D221" s="273"/>
      <c r="E221" s="273"/>
      <c r="F221" s="273"/>
      <c r="G221" s="407"/>
      <c r="H221" s="407"/>
      <c r="I221" s="407"/>
      <c r="J221" s="395"/>
      <c r="L221" s="423"/>
      <c r="M221" s="423"/>
      <c r="N221" s="423"/>
      <c r="O221" s="423"/>
      <c r="P221" s="423"/>
      <c r="Q221" s="399"/>
      <c r="R221" s="399"/>
      <c r="S221" s="399"/>
      <c r="T221" s="424"/>
      <c r="U221" s="357"/>
      <c r="V221" s="357"/>
      <c r="W221" s="357"/>
      <c r="X221" s="357"/>
      <c r="Y221" s="357"/>
      <c r="Z221" s="357"/>
      <c r="AA221" s="357"/>
      <c r="AB221" s="357"/>
    </row>
    <row r="222" spans="1:28" s="322" customFormat="1" x14ac:dyDescent="0.3">
      <c r="A222" s="394"/>
      <c r="B222" s="472">
        <v>3</v>
      </c>
      <c r="C222" s="472"/>
      <c r="D222" s="472"/>
      <c r="E222" s="472"/>
      <c r="F222" s="472"/>
      <c r="G222" s="472"/>
      <c r="H222" s="472"/>
      <c r="I222" s="472"/>
      <c r="J222" s="395"/>
      <c r="K222" s="273" t="s">
        <v>20</v>
      </c>
      <c r="L222" s="425">
        <f>SUM(L223)</f>
        <v>6446.49</v>
      </c>
      <c r="M222" s="425">
        <f>SUM(M223)</f>
        <v>15745.72</v>
      </c>
      <c r="N222" s="425">
        <f>SUM(N223)</f>
        <v>20000</v>
      </c>
      <c r="O222" s="425">
        <f>SUM(O223)</f>
        <v>20000</v>
      </c>
      <c r="P222" s="425">
        <f>SUM(P223)</f>
        <v>15745.72</v>
      </c>
      <c r="Q222" s="380">
        <f>IFERROR(SUM(P222/L222),0)</f>
        <v>2.4425260878400494</v>
      </c>
      <c r="R222" s="380">
        <f>IFERROR(SUM(P222/M222),0)</f>
        <v>1</v>
      </c>
      <c r="S222" s="380">
        <f>IFERROR(SUM(P222/O222),0)</f>
        <v>0.78728599999999993</v>
      </c>
      <c r="T222" s="424"/>
      <c r="U222" s="357"/>
      <c r="V222" s="357"/>
      <c r="W222" s="357"/>
      <c r="X222" s="357"/>
      <c r="Y222" s="357"/>
      <c r="Z222" s="357"/>
      <c r="AA222" s="357"/>
      <c r="AB222" s="357"/>
    </row>
    <row r="223" spans="1:28" s="322" customFormat="1" x14ac:dyDescent="0.3">
      <c r="A223" s="394"/>
      <c r="B223" s="472">
        <v>38</v>
      </c>
      <c r="C223" s="472"/>
      <c r="D223" s="472"/>
      <c r="E223" s="472"/>
      <c r="F223" s="472"/>
      <c r="G223" s="472"/>
      <c r="H223" s="472"/>
      <c r="I223" s="472"/>
      <c r="J223" s="395"/>
      <c r="K223" s="273" t="s">
        <v>22</v>
      </c>
      <c r="L223" s="425">
        <f>SUM(L224:L226)</f>
        <v>6446.49</v>
      </c>
      <c r="M223" s="425">
        <f>SUM(M224:M226)</f>
        <v>15745.72</v>
      </c>
      <c r="N223" s="425">
        <f>SUM(N224:N226)</f>
        <v>20000</v>
      </c>
      <c r="O223" s="425">
        <f>SUM(O224:O226)</f>
        <v>20000</v>
      </c>
      <c r="P223" s="425">
        <f>SUM(P224:P226)</f>
        <v>15745.72</v>
      </c>
      <c r="Q223" s="380">
        <f>IFERROR(SUM(P223/L223),0)</f>
        <v>2.4425260878400494</v>
      </c>
      <c r="R223" s="380">
        <f>IFERROR(SUM(P223/M223),0)</f>
        <v>1</v>
      </c>
      <c r="S223" s="380">
        <f>IFERROR(SUM(P223/O223),0)</f>
        <v>0.78728599999999993</v>
      </c>
      <c r="T223" s="424"/>
      <c r="U223" s="357"/>
      <c r="V223" s="357"/>
      <c r="W223" s="357"/>
      <c r="X223" s="357"/>
      <c r="Y223" s="357"/>
      <c r="Z223" s="357"/>
      <c r="AA223" s="357"/>
      <c r="AB223" s="357"/>
    </row>
    <row r="224" spans="1:28" s="336" customFormat="1" x14ac:dyDescent="0.3">
      <c r="A224" s="386">
        <v>95</v>
      </c>
      <c r="B224" s="471">
        <v>381</v>
      </c>
      <c r="C224" s="471"/>
      <c r="D224" s="471"/>
      <c r="E224" s="471"/>
      <c r="F224" s="471"/>
      <c r="G224" s="471"/>
      <c r="H224" s="471"/>
      <c r="I224" s="471"/>
      <c r="J224" s="388" t="s">
        <v>520</v>
      </c>
      <c r="K224" s="336" t="s">
        <v>437</v>
      </c>
      <c r="L224" s="421">
        <f>SUM('RASHODI ZA VIJEĆE'!E315)</f>
        <v>0</v>
      </c>
      <c r="M224" s="421">
        <f>SUM('RASHODI ZA VIJEĆE'!F315)</f>
        <v>6267.75</v>
      </c>
      <c r="N224" s="421">
        <f>SUM('RASHODI ZA VIJEĆE'!G315)</f>
        <v>6500</v>
      </c>
      <c r="O224" s="421">
        <f>SUM('RASHODI ZA VIJEĆE'!H315)</f>
        <v>6500</v>
      </c>
      <c r="P224" s="421">
        <f>SUM('RASHODI ZA VIJEĆE'!I315)</f>
        <v>6267.75</v>
      </c>
      <c r="Q224" s="390">
        <f>IFERROR(SUM(P224/L224),0)</f>
        <v>0</v>
      </c>
      <c r="R224" s="390">
        <f>IFERROR(SUM(P224/M224),0)</f>
        <v>1</v>
      </c>
      <c r="S224" s="390">
        <f>IFERROR(SUM(P224/O224),0)</f>
        <v>0.96426923076923077</v>
      </c>
      <c r="T224" s="422">
        <v>284</v>
      </c>
      <c r="U224" s="392"/>
      <c r="V224" s="392"/>
      <c r="W224" s="392"/>
      <c r="X224" s="392"/>
      <c r="Y224" s="392"/>
      <c r="Z224" s="392"/>
      <c r="AA224" s="392"/>
      <c r="AB224" s="392"/>
    </row>
    <row r="225" spans="1:28" s="336" customFormat="1" x14ac:dyDescent="0.3">
      <c r="A225" s="386">
        <v>96</v>
      </c>
      <c r="B225" s="471">
        <v>381</v>
      </c>
      <c r="C225" s="471"/>
      <c r="D225" s="471"/>
      <c r="E225" s="471"/>
      <c r="F225" s="471"/>
      <c r="G225" s="471"/>
      <c r="H225" s="471"/>
      <c r="I225" s="471"/>
      <c r="J225" s="388" t="s">
        <v>520</v>
      </c>
      <c r="K225" s="336" t="s">
        <v>501</v>
      </c>
      <c r="L225" s="421">
        <f>SUM('RASHODI ZA VIJEĆE'!E314)</f>
        <v>70</v>
      </c>
      <c r="M225" s="421">
        <f>SUM('RASHODI ZA VIJEĆE'!F314)</f>
        <v>2581.48</v>
      </c>
      <c r="N225" s="421">
        <f>SUM('RASHODI ZA VIJEĆE'!G314)</f>
        <v>7000</v>
      </c>
      <c r="O225" s="421">
        <f>SUM('RASHODI ZA VIJEĆE'!H314)</f>
        <v>3000</v>
      </c>
      <c r="P225" s="421">
        <f>SUM('RASHODI ZA VIJEĆE'!I314)</f>
        <v>2581.48</v>
      </c>
      <c r="Q225" s="390">
        <f>IFERROR(SUM(P225/L225),0)</f>
        <v>36.878285714285717</v>
      </c>
      <c r="R225" s="390">
        <f>IFERROR(SUM(P225/M225),0)</f>
        <v>1</v>
      </c>
      <c r="S225" s="390">
        <f>IFERROR(SUM(P225/O225),0)</f>
        <v>0.86049333333333333</v>
      </c>
      <c r="T225" s="422"/>
      <c r="U225" s="392"/>
      <c r="V225" s="392"/>
      <c r="W225" s="392"/>
      <c r="X225" s="392"/>
      <c r="Y225" s="392"/>
      <c r="Z225" s="392"/>
      <c r="AA225" s="392"/>
      <c r="AB225" s="392"/>
    </row>
    <row r="226" spans="1:28" s="336" customFormat="1" x14ac:dyDescent="0.3">
      <c r="A226" s="386">
        <v>97</v>
      </c>
      <c r="B226" s="471">
        <v>382</v>
      </c>
      <c r="C226" s="471"/>
      <c r="D226" s="471"/>
      <c r="E226" s="471"/>
      <c r="F226" s="471"/>
      <c r="G226" s="471"/>
      <c r="H226" s="471"/>
      <c r="I226" s="471"/>
      <c r="J226" s="388" t="s">
        <v>520</v>
      </c>
      <c r="K226" s="336" t="s">
        <v>388</v>
      </c>
      <c r="L226" s="421">
        <f>SUM('RASHODI ZA VIJEĆE'!E332)</f>
        <v>6376.49</v>
      </c>
      <c r="M226" s="421">
        <f>SUM('RASHODI ZA VIJEĆE'!F332)</f>
        <v>6896.49</v>
      </c>
      <c r="N226" s="421">
        <f>SUM('RASHODI ZA VIJEĆE'!G332)</f>
        <v>6500</v>
      </c>
      <c r="O226" s="421">
        <f>SUM('RASHODI ZA VIJEĆE'!H332)</f>
        <v>10500</v>
      </c>
      <c r="P226" s="421">
        <f>SUM('RASHODI ZA VIJEĆE'!I332)</f>
        <v>6896.49</v>
      </c>
      <c r="Q226" s="390">
        <f>IFERROR(SUM(P226/L226),0)</f>
        <v>1.0815495672384023</v>
      </c>
      <c r="R226" s="390">
        <f>IFERROR(SUM(P226/M226),0)</f>
        <v>1</v>
      </c>
      <c r="S226" s="390">
        <f>IFERROR(SUM(P226/O226),0)</f>
        <v>0.65680857142857141</v>
      </c>
      <c r="T226" s="422">
        <v>303</v>
      </c>
      <c r="U226" s="392"/>
      <c r="V226" s="392"/>
      <c r="W226" s="392"/>
      <c r="X226" s="392"/>
      <c r="Y226" s="392"/>
      <c r="Z226" s="392"/>
      <c r="AA226" s="392"/>
      <c r="AB226" s="392"/>
    </row>
    <row r="227" spans="1:28" s="336" customFormat="1" x14ac:dyDescent="0.3">
      <c r="A227" s="386"/>
      <c r="B227" s="387"/>
      <c r="C227" s="387"/>
      <c r="D227" s="387"/>
      <c r="E227" s="387"/>
      <c r="F227" s="387"/>
      <c r="G227" s="387"/>
      <c r="H227" s="387"/>
      <c r="I227" s="387"/>
      <c r="J227" s="388"/>
      <c r="L227" s="421"/>
      <c r="M227" s="421"/>
      <c r="N227" s="421"/>
      <c r="O227" s="421"/>
      <c r="P227" s="421"/>
      <c r="Q227" s="390"/>
      <c r="R227" s="390"/>
      <c r="S227" s="390"/>
      <c r="T227" s="422"/>
      <c r="U227" s="392"/>
      <c r="V227" s="392"/>
      <c r="W227" s="392"/>
      <c r="X227" s="392"/>
      <c r="Y227" s="392"/>
      <c r="Z227" s="392"/>
      <c r="AA227" s="392"/>
      <c r="AB227" s="392"/>
    </row>
    <row r="228" spans="1:28" s="374" customFormat="1" ht="21" thickBot="1" x14ac:dyDescent="0.35">
      <c r="A228" s="400"/>
      <c r="B228" s="376">
        <v>1</v>
      </c>
      <c r="C228" s="376"/>
      <c r="D228" s="376"/>
      <c r="E228" s="376"/>
      <c r="F228" s="376"/>
      <c r="G228" s="376"/>
      <c r="H228" s="376"/>
      <c r="I228" s="355" t="s">
        <v>1103</v>
      </c>
      <c r="J228" s="401"/>
      <c r="K228" s="355"/>
      <c r="L228" s="403">
        <f>SUM(L230)</f>
        <v>16422.419999999998</v>
      </c>
      <c r="M228" s="403">
        <f>SUM(M230)</f>
        <v>30903.14</v>
      </c>
      <c r="N228" s="403">
        <f>SUM(N230)</f>
        <v>33500</v>
      </c>
      <c r="O228" s="403">
        <f>SUM(O230)</f>
        <v>33500</v>
      </c>
      <c r="P228" s="403">
        <f>SUM(P230)</f>
        <v>30903.14</v>
      </c>
      <c r="Q228" s="404">
        <f>IFERROR(SUM(P228/L228),0)</f>
        <v>1.881765294030965</v>
      </c>
      <c r="R228" s="404">
        <f>IFERROR(SUM(P228/M228),0)</f>
        <v>1</v>
      </c>
      <c r="S228" s="404">
        <f>IFERROR(SUM(P228/O228),0)</f>
        <v>0.92248179104477612</v>
      </c>
      <c r="T228" s="375"/>
      <c r="U228" s="373"/>
      <c r="V228" s="373"/>
      <c r="W228" s="373"/>
      <c r="X228" s="373"/>
      <c r="Y228" s="373"/>
      <c r="Z228" s="373"/>
      <c r="AA228" s="372"/>
      <c r="AB228" s="373"/>
    </row>
    <row r="229" spans="1:28" s="322" customFormat="1" ht="21" thickTop="1" x14ac:dyDescent="0.3">
      <c r="A229" s="394"/>
      <c r="B229" s="472" t="s">
        <v>391</v>
      </c>
      <c r="C229" s="472"/>
      <c r="D229" s="472"/>
      <c r="E229" s="472"/>
      <c r="F229" s="472"/>
      <c r="G229" s="472"/>
      <c r="H229" s="472"/>
      <c r="I229" s="472"/>
      <c r="J229" s="472"/>
      <c r="K229" s="472"/>
      <c r="L229" s="398"/>
      <c r="M229" s="398"/>
      <c r="N229" s="398"/>
      <c r="O229" s="398"/>
      <c r="P229" s="398"/>
      <c r="Q229" s="380"/>
      <c r="R229" s="380"/>
      <c r="S229" s="380"/>
      <c r="T229" s="396"/>
      <c r="U229" s="357"/>
      <c r="V229" s="357"/>
      <c r="W229" s="357"/>
      <c r="X229" s="357"/>
      <c r="Y229" s="357"/>
      <c r="Z229" s="357"/>
      <c r="AA229" s="362"/>
      <c r="AB229" s="357"/>
    </row>
    <row r="230" spans="1:28" s="322" customFormat="1" x14ac:dyDescent="0.3">
      <c r="A230" s="394"/>
      <c r="B230" s="472">
        <v>3</v>
      </c>
      <c r="C230" s="472"/>
      <c r="D230" s="472"/>
      <c r="E230" s="472"/>
      <c r="F230" s="472"/>
      <c r="G230" s="472"/>
      <c r="H230" s="472"/>
      <c r="I230" s="472"/>
      <c r="J230" s="395"/>
      <c r="K230" s="273" t="s">
        <v>20</v>
      </c>
      <c r="L230" s="379">
        <f>SUM(L231+L235)</f>
        <v>16422.419999999998</v>
      </c>
      <c r="M230" s="379">
        <f>SUM(M231+M235)</f>
        <v>30903.14</v>
      </c>
      <c r="N230" s="379">
        <f>SUM(N231+N235)</f>
        <v>33500</v>
      </c>
      <c r="O230" s="379">
        <f>SUM(O231+O235)</f>
        <v>33500</v>
      </c>
      <c r="P230" s="379">
        <f>SUM(P231+P235)</f>
        <v>30903.14</v>
      </c>
      <c r="Q230" s="380">
        <f t="shared" ref="Q230:Q238" si="48">IFERROR(SUM(P230/L230),0)</f>
        <v>1.881765294030965</v>
      </c>
      <c r="R230" s="380">
        <f t="shared" ref="R230:R238" si="49">IFERROR(SUM(P230/M230),0)</f>
        <v>1</v>
      </c>
      <c r="S230" s="380">
        <f t="shared" ref="S230:S238" si="50">IFERROR(SUM(P230/O230),0)</f>
        <v>0.92248179104477612</v>
      </c>
      <c r="T230" s="381"/>
      <c r="U230" s="357"/>
      <c r="V230" s="357"/>
      <c r="W230" s="357"/>
      <c r="X230" s="357"/>
      <c r="Y230" s="357"/>
      <c r="Z230" s="357"/>
      <c r="AA230" s="357"/>
      <c r="AB230" s="357"/>
    </row>
    <row r="231" spans="1:28" s="322" customFormat="1" x14ac:dyDescent="0.3">
      <c r="A231" s="394"/>
      <c r="B231" s="472">
        <v>32</v>
      </c>
      <c r="C231" s="472"/>
      <c r="D231" s="472"/>
      <c r="E231" s="472"/>
      <c r="F231" s="472"/>
      <c r="G231" s="472"/>
      <c r="H231" s="472"/>
      <c r="I231" s="472"/>
      <c r="J231" s="395"/>
      <c r="K231" s="273" t="s">
        <v>3</v>
      </c>
      <c r="L231" s="379">
        <f>SUM(L232:L234)</f>
        <v>4644.05</v>
      </c>
      <c r="M231" s="379">
        <f>SUM(M232:M234)</f>
        <v>8340.2199999999993</v>
      </c>
      <c r="N231" s="379">
        <f>SUM(N232:N234)</f>
        <v>5000</v>
      </c>
      <c r="O231" s="379">
        <f>SUM(O232:O234)</f>
        <v>10000</v>
      </c>
      <c r="P231" s="379">
        <f>SUM(P232:P234)</f>
        <v>8340.2199999999993</v>
      </c>
      <c r="Q231" s="380">
        <f t="shared" si="48"/>
        <v>1.795893670395452</v>
      </c>
      <c r="R231" s="380">
        <f t="shared" si="49"/>
        <v>1</v>
      </c>
      <c r="S231" s="380">
        <f t="shared" si="50"/>
        <v>0.83402199999999993</v>
      </c>
      <c r="T231" s="381"/>
      <c r="U231" s="357"/>
      <c r="V231" s="357"/>
      <c r="W231" s="357"/>
      <c r="X231" s="357"/>
      <c r="Y231" s="357"/>
      <c r="Z231" s="357"/>
      <c r="AA231" s="357"/>
      <c r="AB231" s="357"/>
    </row>
    <row r="232" spans="1:28" s="336" customFormat="1" x14ac:dyDescent="0.3">
      <c r="A232" s="386">
        <v>98</v>
      </c>
      <c r="B232" s="471">
        <v>322</v>
      </c>
      <c r="C232" s="471"/>
      <c r="D232" s="471"/>
      <c r="E232" s="471"/>
      <c r="F232" s="471"/>
      <c r="G232" s="471"/>
      <c r="H232" s="471"/>
      <c r="I232" s="471"/>
      <c r="J232" s="388" t="s">
        <v>520</v>
      </c>
      <c r="K232" s="336" t="s">
        <v>946</v>
      </c>
      <c r="L232" s="389">
        <f>SUM('RASHODI ZA VIJEĆE'!E79)</f>
        <v>3324.23</v>
      </c>
      <c r="M232" s="389">
        <f>SUM('RASHODI ZA VIJEĆE'!F79)</f>
        <v>5837.5</v>
      </c>
      <c r="N232" s="389">
        <f>SUM('RASHODI ZA VIJEĆE'!G79)</f>
        <v>5000</v>
      </c>
      <c r="O232" s="389">
        <f>SUM('RASHODI ZA VIJEĆE'!H79)</f>
        <v>7000</v>
      </c>
      <c r="P232" s="389">
        <f>SUM('RASHODI ZA VIJEĆE'!I79)</f>
        <v>5837.5</v>
      </c>
      <c r="Q232" s="390">
        <f t="shared" si="48"/>
        <v>1.7560457609732179</v>
      </c>
      <c r="R232" s="390">
        <f t="shared" si="49"/>
        <v>1</v>
      </c>
      <c r="S232" s="390">
        <f t="shared" si="50"/>
        <v>0.83392857142857146</v>
      </c>
      <c r="T232" s="406"/>
      <c r="U232" s="392"/>
      <c r="V232" s="392"/>
      <c r="W232" s="392"/>
      <c r="X232" s="392"/>
      <c r="Y232" s="392"/>
      <c r="Z232" s="392"/>
      <c r="AA232" s="392"/>
      <c r="AB232" s="392"/>
    </row>
    <row r="233" spans="1:28" s="336" customFormat="1" x14ac:dyDescent="0.3">
      <c r="A233" s="386"/>
      <c r="B233" s="471">
        <v>322</v>
      </c>
      <c r="C233" s="471"/>
      <c r="D233" s="471"/>
      <c r="E233" s="471"/>
      <c r="F233" s="471"/>
      <c r="G233" s="471"/>
      <c r="H233" s="471"/>
      <c r="I233" s="471"/>
      <c r="J233" s="388" t="s">
        <v>520</v>
      </c>
      <c r="K233" s="336" t="s">
        <v>992</v>
      </c>
      <c r="L233" s="389">
        <f>SUM('RASHODI ZA VIJEĆE'!E81)</f>
        <v>1096.6099999999999</v>
      </c>
      <c r="M233" s="389">
        <f>SUM('RASHODI ZA VIJEĆE'!F81)</f>
        <v>1747.9</v>
      </c>
      <c r="N233" s="389">
        <f>SUM('RASHODI ZA VIJEĆE'!G81)</f>
        <v>0</v>
      </c>
      <c r="O233" s="389">
        <f>SUM('RASHODI ZA VIJEĆE'!H81)</f>
        <v>2000</v>
      </c>
      <c r="P233" s="389">
        <f>SUM('RASHODI ZA VIJEĆE'!I81)</f>
        <v>1747.9</v>
      </c>
      <c r="Q233" s="390">
        <f t="shared" si="48"/>
        <v>1.5939121474361899</v>
      </c>
      <c r="R233" s="390">
        <f t="shared" si="49"/>
        <v>1</v>
      </c>
      <c r="S233" s="390">
        <f t="shared" si="50"/>
        <v>0.87395</v>
      </c>
      <c r="T233" s="406"/>
      <c r="U233" s="392"/>
      <c r="V233" s="392"/>
      <c r="W233" s="392"/>
      <c r="X233" s="392"/>
      <c r="Y233" s="392"/>
      <c r="Z233" s="392"/>
      <c r="AA233" s="392"/>
      <c r="AB233" s="392"/>
    </row>
    <row r="234" spans="1:28" s="336" customFormat="1" x14ac:dyDescent="0.3">
      <c r="A234" s="386"/>
      <c r="B234" s="471">
        <v>322</v>
      </c>
      <c r="C234" s="471"/>
      <c r="D234" s="471"/>
      <c r="E234" s="471"/>
      <c r="F234" s="471"/>
      <c r="G234" s="471"/>
      <c r="H234" s="471"/>
      <c r="I234" s="471"/>
      <c r="J234" s="388" t="s">
        <v>520</v>
      </c>
      <c r="K234" s="336" t="s">
        <v>993</v>
      </c>
      <c r="L234" s="389">
        <f>SUM('RASHODI ZA VIJEĆE'!E124)</f>
        <v>223.21</v>
      </c>
      <c r="M234" s="389">
        <f>SUM('RASHODI ZA VIJEĆE'!F124)</f>
        <v>754.82</v>
      </c>
      <c r="N234" s="389">
        <f>SUM('RASHODI ZA VIJEĆE'!G124)</f>
        <v>0</v>
      </c>
      <c r="O234" s="389">
        <f>SUM('RASHODI ZA VIJEĆE'!H124)</f>
        <v>1000</v>
      </c>
      <c r="P234" s="389">
        <f>SUM('RASHODI ZA VIJEĆE'!I124)</f>
        <v>754.82</v>
      </c>
      <c r="Q234" s="390">
        <f t="shared" si="48"/>
        <v>3.3816585278437348</v>
      </c>
      <c r="R234" s="390">
        <f t="shared" si="49"/>
        <v>1</v>
      </c>
      <c r="S234" s="390">
        <f t="shared" si="50"/>
        <v>0.75482000000000005</v>
      </c>
      <c r="T234" s="406"/>
      <c r="U234" s="392"/>
      <c r="V234" s="392"/>
      <c r="W234" s="392"/>
      <c r="X234" s="392"/>
      <c r="Y234" s="392"/>
      <c r="Z234" s="392"/>
      <c r="AA234" s="392"/>
      <c r="AB234" s="392"/>
    </row>
    <row r="235" spans="1:28" s="322" customFormat="1" x14ac:dyDescent="0.3">
      <c r="A235" s="394"/>
      <c r="B235" s="472">
        <v>38</v>
      </c>
      <c r="C235" s="472"/>
      <c r="D235" s="472"/>
      <c r="E235" s="472"/>
      <c r="F235" s="472"/>
      <c r="G235" s="472"/>
      <c r="H235" s="472"/>
      <c r="I235" s="472"/>
      <c r="J235" s="395"/>
      <c r="K235" s="273" t="s">
        <v>22</v>
      </c>
      <c r="L235" s="379">
        <f>SUM(L236:L238)</f>
        <v>11778.369999999999</v>
      </c>
      <c r="M235" s="379">
        <f>SUM(M236:M238)</f>
        <v>22562.92</v>
      </c>
      <c r="N235" s="379">
        <f>SUM(N236:N238)</f>
        <v>28500</v>
      </c>
      <c r="O235" s="379">
        <f>SUM(O236:O238)</f>
        <v>23500</v>
      </c>
      <c r="P235" s="379">
        <f>SUM(P236:P238)</f>
        <v>22562.92</v>
      </c>
      <c r="Q235" s="380">
        <f t="shared" si="48"/>
        <v>1.9156232993190059</v>
      </c>
      <c r="R235" s="380">
        <f t="shared" si="49"/>
        <v>1</v>
      </c>
      <c r="S235" s="380">
        <f t="shared" si="50"/>
        <v>0.96012425531914891</v>
      </c>
      <c r="T235" s="381"/>
      <c r="U235" s="357"/>
      <c r="V235" s="357"/>
      <c r="W235" s="357"/>
      <c r="X235" s="357"/>
      <c r="Y235" s="357"/>
      <c r="Z235" s="357"/>
      <c r="AA235" s="357"/>
      <c r="AB235" s="357"/>
    </row>
    <row r="236" spans="1:28" s="336" customFormat="1" x14ac:dyDescent="0.3">
      <c r="A236" s="386">
        <v>99</v>
      </c>
      <c r="B236" s="471">
        <v>381</v>
      </c>
      <c r="C236" s="471"/>
      <c r="D236" s="471"/>
      <c r="E236" s="471"/>
      <c r="F236" s="471"/>
      <c r="G236" s="471"/>
      <c r="H236" s="471"/>
      <c r="I236" s="471"/>
      <c r="J236" s="388" t="s">
        <v>520</v>
      </c>
      <c r="K236" s="336" t="s">
        <v>391</v>
      </c>
      <c r="L236" s="389">
        <f>SUM('RASHODI ZA VIJEĆE'!E307+'RASHODI ZA VIJEĆE'!E308+'RASHODI ZA VIJEĆE'!E312+'RASHODI ZA VIJEĆE'!E313+'RASHODI ZA VIJEĆE'!E273+'RASHODI ZA VIJEĆE'!E305+'RASHODI ZA VIJEĆE'!E309+'RASHODI ZA VIJEĆE'!E311+'RASHODI ZA VIJEĆE'!E306)</f>
        <v>4920.6499999999996</v>
      </c>
      <c r="M236" s="389">
        <f>SUM('RASHODI ZA VIJEĆE'!F307+'RASHODI ZA VIJEĆE'!F308+'RASHODI ZA VIJEĆE'!F312+'RASHODI ZA VIJEĆE'!F313+'RASHODI ZA VIJEĆE'!F273+'RASHODI ZA VIJEĆE'!F305+'RASHODI ZA VIJEĆE'!F309+'RASHODI ZA VIJEĆE'!F311+'RASHODI ZA VIJEĆE'!F306)</f>
        <v>9751.64</v>
      </c>
      <c r="N236" s="389">
        <f>SUM('RASHODI ZA VIJEĆE'!G307+'RASHODI ZA VIJEĆE'!G308+'RASHODI ZA VIJEĆE'!G312+'RASHODI ZA VIJEĆE'!G313+'RASHODI ZA VIJEĆE'!G273+'RASHODI ZA VIJEĆE'!G305+'RASHODI ZA VIJEĆE'!G309+'RASHODI ZA VIJEĆE'!G311+'RASHODI ZA VIJEĆE'!G306)</f>
        <v>10000</v>
      </c>
      <c r="O236" s="389">
        <f>SUM('RASHODI ZA VIJEĆE'!H307+'RASHODI ZA VIJEĆE'!H308+'RASHODI ZA VIJEĆE'!H312+'RASHODI ZA VIJEĆE'!H313+'RASHODI ZA VIJEĆE'!H273+'RASHODI ZA VIJEĆE'!H305+'RASHODI ZA VIJEĆE'!H309+'RASHODI ZA VIJEĆE'!H311+'RASHODI ZA VIJEĆE'!H306)</f>
        <v>10000</v>
      </c>
      <c r="P236" s="389">
        <f>SUM('RASHODI ZA VIJEĆE'!I307+'RASHODI ZA VIJEĆE'!I308+'RASHODI ZA VIJEĆE'!I312+'RASHODI ZA VIJEĆE'!I313+'RASHODI ZA VIJEĆE'!I273+'RASHODI ZA VIJEĆE'!I305+'RASHODI ZA VIJEĆE'!I309+'RASHODI ZA VIJEĆE'!I311+'RASHODI ZA VIJEĆE'!I306)</f>
        <v>9751.64</v>
      </c>
      <c r="Q236" s="390">
        <f t="shared" si="48"/>
        <v>1.9817788300326176</v>
      </c>
      <c r="R236" s="390">
        <f t="shared" si="49"/>
        <v>1</v>
      </c>
      <c r="S236" s="390">
        <f t="shared" si="50"/>
        <v>0.97516399999999992</v>
      </c>
      <c r="T236" s="391">
        <v>256</v>
      </c>
      <c r="U236" s="392"/>
      <c r="V236" s="392"/>
      <c r="W236" s="392"/>
      <c r="X236" s="392"/>
      <c r="Y236" s="392"/>
      <c r="Z236" s="392"/>
      <c r="AA236" s="392"/>
      <c r="AB236" s="392"/>
    </row>
    <row r="237" spans="1:28" s="336" customFormat="1" x14ac:dyDescent="0.3">
      <c r="A237" s="386">
        <v>100</v>
      </c>
      <c r="B237" s="471">
        <v>381</v>
      </c>
      <c r="C237" s="471"/>
      <c r="D237" s="471"/>
      <c r="E237" s="471"/>
      <c r="F237" s="471"/>
      <c r="G237" s="471"/>
      <c r="H237" s="471"/>
      <c r="I237" s="471"/>
      <c r="J237" s="388" t="s">
        <v>520</v>
      </c>
      <c r="K237" s="336" t="s">
        <v>494</v>
      </c>
      <c r="L237" s="389">
        <f>SUM('RASHODI ZA VIJEĆE'!E329)</f>
        <v>1232.72</v>
      </c>
      <c r="M237" s="389">
        <f>SUM('RASHODI ZA VIJEĆE'!F329)</f>
        <v>5022.67</v>
      </c>
      <c r="N237" s="389">
        <f>SUM('RASHODI ZA VIJEĆE'!G329)</f>
        <v>13500</v>
      </c>
      <c r="O237" s="389">
        <f>SUM('RASHODI ZA VIJEĆE'!H329)</f>
        <v>5500</v>
      </c>
      <c r="P237" s="389">
        <f>SUM('RASHODI ZA VIJEĆE'!I329)</f>
        <v>5022.67</v>
      </c>
      <c r="Q237" s="390">
        <f t="shared" si="48"/>
        <v>4.0744613537542991</v>
      </c>
      <c r="R237" s="390">
        <f t="shared" si="49"/>
        <v>1</v>
      </c>
      <c r="S237" s="390">
        <f t="shared" si="50"/>
        <v>0.91321272727272729</v>
      </c>
      <c r="T237" s="391">
        <v>299</v>
      </c>
      <c r="U237" s="392"/>
      <c r="V237" s="392"/>
      <c r="W237" s="392"/>
      <c r="X237" s="392"/>
      <c r="Y237" s="392"/>
      <c r="Z237" s="392"/>
      <c r="AA237" s="392"/>
      <c r="AB237" s="392"/>
    </row>
    <row r="238" spans="1:28" s="336" customFormat="1" x14ac:dyDescent="0.3">
      <c r="A238" s="386">
        <v>101</v>
      </c>
      <c r="B238" s="471">
        <v>381</v>
      </c>
      <c r="C238" s="471"/>
      <c r="D238" s="471"/>
      <c r="E238" s="471"/>
      <c r="F238" s="471"/>
      <c r="G238" s="471"/>
      <c r="H238" s="471"/>
      <c r="I238" s="471"/>
      <c r="J238" s="388" t="s">
        <v>521</v>
      </c>
      <c r="K238" s="336" t="s">
        <v>52</v>
      </c>
      <c r="L238" s="389">
        <f>SUM('RASHODI ZA VIJEĆE'!E269)</f>
        <v>5625</v>
      </c>
      <c r="M238" s="389">
        <f>SUM('RASHODI ZA VIJEĆE'!F269)</f>
        <v>7788.61</v>
      </c>
      <c r="N238" s="389">
        <f>SUM('RASHODI ZA VIJEĆE'!G269)</f>
        <v>5000</v>
      </c>
      <c r="O238" s="389">
        <f>SUM('RASHODI ZA VIJEĆE'!H269)</f>
        <v>8000</v>
      </c>
      <c r="P238" s="389">
        <f>SUM('RASHODI ZA VIJEĆE'!I269)</f>
        <v>7788.61</v>
      </c>
      <c r="Q238" s="390">
        <f t="shared" si="48"/>
        <v>1.3846417777777777</v>
      </c>
      <c r="R238" s="390">
        <f t="shared" si="49"/>
        <v>1</v>
      </c>
      <c r="S238" s="390">
        <f t="shared" si="50"/>
        <v>0.97357624999999992</v>
      </c>
      <c r="T238" s="391">
        <v>252</v>
      </c>
      <c r="U238" s="392"/>
      <c r="V238" s="392"/>
      <c r="W238" s="392"/>
      <c r="X238" s="392"/>
      <c r="Y238" s="392"/>
      <c r="Z238" s="392"/>
      <c r="AA238" s="392"/>
      <c r="AB238" s="392"/>
    </row>
    <row r="239" spans="1:28" s="336" customFormat="1" x14ac:dyDescent="0.3">
      <c r="A239" s="386"/>
      <c r="B239" s="387"/>
      <c r="C239" s="387"/>
      <c r="D239" s="387"/>
      <c r="E239" s="387"/>
      <c r="F239" s="387"/>
      <c r="G239" s="387"/>
      <c r="H239" s="387"/>
      <c r="I239" s="387"/>
      <c r="J239" s="388"/>
      <c r="L239" s="389"/>
      <c r="M239" s="389"/>
      <c r="N239" s="389"/>
      <c r="O239" s="389"/>
      <c r="P239" s="389"/>
      <c r="Q239" s="390"/>
      <c r="R239" s="390"/>
      <c r="S239" s="390"/>
      <c r="T239" s="391"/>
      <c r="U239" s="392"/>
      <c r="V239" s="392"/>
      <c r="W239" s="392"/>
      <c r="X239" s="392"/>
      <c r="Y239" s="392"/>
      <c r="Z239" s="392"/>
      <c r="AA239" s="392"/>
      <c r="AB239" s="392"/>
    </row>
    <row r="240" spans="1:28" s="374" customFormat="1" ht="21" thickBot="1" x14ac:dyDescent="0.35">
      <c r="A240" s="400"/>
      <c r="B240" s="376">
        <v>1</v>
      </c>
      <c r="C240" s="376"/>
      <c r="D240" s="376"/>
      <c r="E240" s="376"/>
      <c r="F240" s="376"/>
      <c r="G240" s="376"/>
      <c r="H240" s="376"/>
      <c r="I240" s="355" t="s">
        <v>1104</v>
      </c>
      <c r="J240" s="401"/>
      <c r="K240" s="355"/>
      <c r="L240" s="403">
        <f>SUM(L242)</f>
        <v>0</v>
      </c>
      <c r="M240" s="403">
        <f t="shared" ref="M240:P240" si="51">SUM(M242)</f>
        <v>700</v>
      </c>
      <c r="N240" s="403">
        <f t="shared" si="51"/>
        <v>1000</v>
      </c>
      <c r="O240" s="403">
        <f t="shared" si="51"/>
        <v>700</v>
      </c>
      <c r="P240" s="403">
        <f t="shared" si="51"/>
        <v>700</v>
      </c>
      <c r="Q240" s="404">
        <f>IFERROR(SUM(P240/L240),0)</f>
        <v>0</v>
      </c>
      <c r="R240" s="404">
        <f>IFERROR(SUM(P240/M240),0)</f>
        <v>1</v>
      </c>
      <c r="S240" s="404">
        <f>IFERROR(SUM(P240/O240),0)</f>
        <v>1</v>
      </c>
      <c r="T240" s="375"/>
      <c r="U240" s="373"/>
      <c r="V240" s="373"/>
      <c r="W240" s="373"/>
      <c r="X240" s="373"/>
      <c r="Y240" s="373"/>
      <c r="Z240" s="373"/>
      <c r="AA240" s="372"/>
      <c r="AB240" s="373"/>
    </row>
    <row r="241" spans="1:28" s="322" customFormat="1" ht="21" thickTop="1" x14ac:dyDescent="0.3">
      <c r="A241" s="394"/>
      <c r="B241" s="472" t="s">
        <v>103</v>
      </c>
      <c r="C241" s="472"/>
      <c r="D241" s="472"/>
      <c r="E241" s="472"/>
      <c r="F241" s="472"/>
      <c r="G241" s="472"/>
      <c r="H241" s="472"/>
      <c r="I241" s="472"/>
      <c r="J241" s="472"/>
      <c r="K241" s="472"/>
      <c r="L241" s="398"/>
      <c r="M241" s="398"/>
      <c r="N241" s="398"/>
      <c r="O241" s="398"/>
      <c r="P241" s="398"/>
      <c r="Q241" s="380"/>
      <c r="R241" s="380"/>
      <c r="S241" s="380"/>
      <c r="T241" s="396"/>
      <c r="U241" s="357"/>
      <c r="V241" s="357"/>
      <c r="W241" s="357"/>
      <c r="X241" s="357"/>
      <c r="Y241" s="357"/>
      <c r="Z241" s="357"/>
      <c r="AA241" s="362"/>
      <c r="AB241" s="357"/>
    </row>
    <row r="242" spans="1:28" s="322" customFormat="1" x14ac:dyDescent="0.3">
      <c r="A242" s="394"/>
      <c r="B242" s="472">
        <v>3</v>
      </c>
      <c r="C242" s="472"/>
      <c r="D242" s="472"/>
      <c r="E242" s="472"/>
      <c r="F242" s="472"/>
      <c r="G242" s="472"/>
      <c r="H242" s="472"/>
      <c r="I242" s="472"/>
      <c r="K242" s="273" t="s">
        <v>20</v>
      </c>
      <c r="L242" s="426">
        <f>SUM(L243)</f>
        <v>0</v>
      </c>
      <c r="M242" s="426">
        <f t="shared" ref="M242:P243" si="52">SUM(M243)</f>
        <v>700</v>
      </c>
      <c r="N242" s="426">
        <f t="shared" si="52"/>
        <v>1000</v>
      </c>
      <c r="O242" s="426">
        <f t="shared" si="52"/>
        <v>700</v>
      </c>
      <c r="P242" s="426">
        <f t="shared" si="52"/>
        <v>700</v>
      </c>
      <c r="Q242" s="380">
        <f>IFERROR(SUM(P242/L242),0)</f>
        <v>0</v>
      </c>
      <c r="R242" s="380">
        <f>IFERROR(SUM(P242/M242),0)</f>
        <v>1</v>
      </c>
      <c r="S242" s="380">
        <f>IFERROR(SUM(P242/O242),0)</f>
        <v>1</v>
      </c>
      <c r="T242" s="396"/>
      <c r="U242" s="357"/>
      <c r="V242" s="357"/>
      <c r="W242" s="357"/>
      <c r="X242" s="357"/>
      <c r="Y242" s="357"/>
      <c r="Z242" s="357"/>
      <c r="AA242" s="362"/>
      <c r="AB242" s="357"/>
    </row>
    <row r="243" spans="1:28" s="322" customFormat="1" x14ac:dyDescent="0.3">
      <c r="A243" s="394"/>
      <c r="B243" s="472">
        <v>38</v>
      </c>
      <c r="C243" s="472"/>
      <c r="D243" s="472"/>
      <c r="E243" s="472"/>
      <c r="F243" s="472"/>
      <c r="G243" s="472"/>
      <c r="H243" s="472"/>
      <c r="I243" s="472"/>
      <c r="K243" s="273" t="s">
        <v>22</v>
      </c>
      <c r="L243" s="426">
        <f>SUM(L244)</f>
        <v>0</v>
      </c>
      <c r="M243" s="426">
        <f t="shared" si="52"/>
        <v>700</v>
      </c>
      <c r="N243" s="426">
        <f t="shared" si="52"/>
        <v>1000</v>
      </c>
      <c r="O243" s="426">
        <f t="shared" si="52"/>
        <v>700</v>
      </c>
      <c r="P243" s="426">
        <f t="shared" si="52"/>
        <v>700</v>
      </c>
      <c r="Q243" s="380">
        <f>IFERROR(SUM(P243/L243),0)</f>
        <v>0</v>
      </c>
      <c r="R243" s="380">
        <f>IFERROR(SUM(P243/M243),0)</f>
        <v>1</v>
      </c>
      <c r="S243" s="380">
        <f>IFERROR(SUM(P243/O243),0)</f>
        <v>1</v>
      </c>
      <c r="T243" s="396"/>
      <c r="U243" s="357"/>
      <c r="V243" s="357"/>
      <c r="W243" s="357"/>
      <c r="X243" s="357"/>
      <c r="Y243" s="357"/>
      <c r="Z243" s="357"/>
      <c r="AA243" s="362"/>
      <c r="AB243" s="357"/>
    </row>
    <row r="244" spans="1:28" s="336" customFormat="1" x14ac:dyDescent="0.3">
      <c r="A244" s="386">
        <v>104</v>
      </c>
      <c r="B244" s="471">
        <v>381</v>
      </c>
      <c r="C244" s="471"/>
      <c r="D244" s="471"/>
      <c r="E244" s="471"/>
      <c r="F244" s="471"/>
      <c r="G244" s="471"/>
      <c r="H244" s="471"/>
      <c r="I244" s="471"/>
      <c r="J244" s="388" t="s">
        <v>521</v>
      </c>
      <c r="K244" s="336" t="s">
        <v>103</v>
      </c>
      <c r="L244" s="389">
        <f>SUM('RASHODI ZA VIJEĆE'!E271)</f>
        <v>0</v>
      </c>
      <c r="M244" s="389">
        <f>SUM('RASHODI ZA VIJEĆE'!F271)</f>
        <v>700</v>
      </c>
      <c r="N244" s="389">
        <f>SUM('RASHODI ZA VIJEĆE'!G271)</f>
        <v>1000</v>
      </c>
      <c r="O244" s="389">
        <f>SUM('RASHODI ZA VIJEĆE'!H271)</f>
        <v>700</v>
      </c>
      <c r="P244" s="389">
        <f>SUM('RASHODI ZA VIJEĆE'!I271)</f>
        <v>700</v>
      </c>
      <c r="Q244" s="390">
        <f>IFERROR(SUM(P244/L244),0)</f>
        <v>0</v>
      </c>
      <c r="R244" s="390">
        <f>IFERROR(SUM(P244/M244),0)</f>
        <v>1</v>
      </c>
      <c r="S244" s="390">
        <f>IFERROR(SUM(P244/O244),0)</f>
        <v>1</v>
      </c>
      <c r="T244" s="391">
        <v>254</v>
      </c>
      <c r="U244" s="392"/>
      <c r="V244" s="392"/>
      <c r="W244" s="392"/>
      <c r="X244" s="392"/>
      <c r="Y244" s="392"/>
      <c r="Z244" s="392"/>
      <c r="AA244" s="392"/>
      <c r="AB244" s="392"/>
    </row>
    <row r="245" spans="1:28" s="336" customFormat="1" x14ac:dyDescent="0.3">
      <c r="A245" s="386"/>
      <c r="B245" s="387"/>
      <c r="C245" s="387"/>
      <c r="D245" s="387"/>
      <c r="E245" s="387"/>
      <c r="F245" s="387"/>
      <c r="G245" s="387"/>
      <c r="H245" s="387"/>
      <c r="I245" s="387"/>
      <c r="J245" s="388"/>
      <c r="L245" s="389"/>
      <c r="M245" s="389"/>
      <c r="N245" s="389"/>
      <c r="O245" s="389"/>
      <c r="P245" s="389"/>
      <c r="Q245" s="390"/>
      <c r="R245" s="390"/>
      <c r="S245" s="390"/>
      <c r="T245" s="391"/>
      <c r="U245" s="392"/>
      <c r="V245" s="392"/>
      <c r="W245" s="392"/>
      <c r="X245" s="392"/>
      <c r="Y245" s="392"/>
      <c r="Z245" s="392"/>
      <c r="AA245" s="392"/>
      <c r="AB245" s="392"/>
    </row>
    <row r="246" spans="1:28" s="374" customFormat="1" ht="21" thickBot="1" x14ac:dyDescent="0.35">
      <c r="A246" s="400"/>
      <c r="B246" s="376">
        <v>1</v>
      </c>
      <c r="C246" s="376"/>
      <c r="D246" s="376"/>
      <c r="E246" s="376">
        <v>4</v>
      </c>
      <c r="F246" s="376"/>
      <c r="G246" s="376"/>
      <c r="H246" s="376"/>
      <c r="I246" s="355" t="s">
        <v>1105</v>
      </c>
      <c r="J246" s="401"/>
      <c r="K246" s="355"/>
      <c r="L246" s="403">
        <f>SUM(L248+L270+L282)</f>
        <v>147388</v>
      </c>
      <c r="M246" s="403">
        <f>SUM(M248+M270+M282)</f>
        <v>231629.05000000002</v>
      </c>
      <c r="N246" s="403">
        <f>SUM(N248+N270+N282)</f>
        <v>418500</v>
      </c>
      <c r="O246" s="403">
        <f>SUM(O248+O270+O282)</f>
        <v>262900</v>
      </c>
      <c r="P246" s="403">
        <f>SUM(P248+P270+P282)</f>
        <v>231629.05000000002</v>
      </c>
      <c r="Q246" s="404">
        <f>IFERROR(SUM(P246/L246),0)</f>
        <v>1.5715597606318019</v>
      </c>
      <c r="R246" s="404">
        <f>IFERROR(SUM(P246/M246),0)</f>
        <v>1</v>
      </c>
      <c r="S246" s="404">
        <f>IFERROR(SUM(P246/O246),0)</f>
        <v>0.8810538227462914</v>
      </c>
      <c r="T246" s="375"/>
      <c r="U246" s="373"/>
      <c r="V246" s="373"/>
      <c r="W246" s="373"/>
      <c r="X246" s="373"/>
      <c r="Y246" s="373"/>
      <c r="Z246" s="373"/>
      <c r="AA246" s="372"/>
      <c r="AB246" s="373"/>
    </row>
    <row r="247" spans="1:28" s="273" customFormat="1" ht="21" thickTop="1" x14ac:dyDescent="0.3">
      <c r="A247" s="377"/>
      <c r="B247" s="472" t="s">
        <v>826</v>
      </c>
      <c r="C247" s="472"/>
      <c r="D247" s="472"/>
      <c r="E247" s="472"/>
      <c r="F247" s="472"/>
      <c r="G247" s="472"/>
      <c r="H247" s="472"/>
      <c r="I247" s="472"/>
      <c r="J247" s="472"/>
      <c r="K247" s="472"/>
      <c r="L247" s="379"/>
      <c r="M247" s="379"/>
      <c r="N247" s="379"/>
      <c r="O247" s="379"/>
      <c r="P247" s="379"/>
      <c r="Q247" s="380"/>
      <c r="R247" s="380"/>
      <c r="S247" s="380"/>
      <c r="T247" s="381"/>
      <c r="U247" s="383"/>
      <c r="V247" s="383"/>
      <c r="W247" s="383"/>
      <c r="X247" s="383"/>
      <c r="Y247" s="383"/>
      <c r="Z247" s="383"/>
      <c r="AA247" s="383"/>
      <c r="AB247" s="383"/>
    </row>
    <row r="248" spans="1:28" s="273" customFormat="1" x14ac:dyDescent="0.3">
      <c r="A248" s="377"/>
      <c r="B248" s="472">
        <v>3</v>
      </c>
      <c r="C248" s="472"/>
      <c r="D248" s="472"/>
      <c r="E248" s="472"/>
      <c r="F248" s="472"/>
      <c r="G248" s="472"/>
      <c r="H248" s="472"/>
      <c r="I248" s="472"/>
      <c r="J248" s="384"/>
      <c r="K248" s="273" t="s">
        <v>20</v>
      </c>
      <c r="L248" s="379">
        <f>SUM(L249+L258)</f>
        <v>98847.85</v>
      </c>
      <c r="M248" s="379">
        <f>SUM(M249+M258)</f>
        <v>121095.83000000002</v>
      </c>
      <c r="N248" s="379">
        <f>SUM(N249+N258)</f>
        <v>255000</v>
      </c>
      <c r="O248" s="379">
        <f>SUM(O249+O258)</f>
        <v>124400</v>
      </c>
      <c r="P248" s="379">
        <f>SUM(P249+P258)</f>
        <v>121095.83000000002</v>
      </c>
      <c r="Q248" s="380">
        <f t="shared" ref="Q248:Q268" si="53">IFERROR(SUM(P248/L248),0)</f>
        <v>1.2250729783197107</v>
      </c>
      <c r="R248" s="380">
        <f t="shared" ref="R248:R268" si="54">IFERROR(SUM(P248/M248),0)</f>
        <v>1</v>
      </c>
      <c r="S248" s="380">
        <f t="shared" ref="S248:S268" si="55">IFERROR(SUM(P248/O248),0)</f>
        <v>0.97343914790996799</v>
      </c>
      <c r="T248" s="381"/>
      <c r="U248" s="383"/>
      <c r="V248" s="383"/>
      <c r="W248" s="383"/>
      <c r="X248" s="383"/>
      <c r="Y248" s="383"/>
      <c r="Z248" s="383"/>
      <c r="AA248" s="383"/>
      <c r="AB248" s="383"/>
    </row>
    <row r="249" spans="1:28" s="273" customFormat="1" x14ac:dyDescent="0.3">
      <c r="A249" s="377"/>
      <c r="B249" s="472">
        <v>31</v>
      </c>
      <c r="C249" s="472"/>
      <c r="D249" s="472"/>
      <c r="E249" s="472"/>
      <c r="F249" s="472"/>
      <c r="G249" s="472"/>
      <c r="H249" s="472"/>
      <c r="I249" s="472"/>
      <c r="J249" s="384"/>
      <c r="K249" s="273" t="s">
        <v>0</v>
      </c>
      <c r="L249" s="379">
        <f>SUM(L250+L252+L255)</f>
        <v>93360.85</v>
      </c>
      <c r="M249" s="379">
        <f>SUM(M250+M252+M255)</f>
        <v>114967.59000000001</v>
      </c>
      <c r="N249" s="379">
        <f>SUM(N250+N252+N255)</f>
        <v>227000</v>
      </c>
      <c r="O249" s="379">
        <f>SUM(O250+O252+O255)</f>
        <v>115200</v>
      </c>
      <c r="P249" s="379">
        <f>SUM(P250+P252+P255)</f>
        <v>114967.59000000001</v>
      </c>
      <c r="Q249" s="380">
        <f t="shared" si="53"/>
        <v>1.2314325544379685</v>
      </c>
      <c r="R249" s="380">
        <f t="shared" si="54"/>
        <v>1</v>
      </c>
      <c r="S249" s="380">
        <f t="shared" si="55"/>
        <v>0.99798255208333342</v>
      </c>
      <c r="T249" s="381"/>
      <c r="U249" s="383"/>
      <c r="V249" s="383"/>
      <c r="W249" s="383"/>
      <c r="X249" s="383"/>
      <c r="Y249" s="383"/>
      <c r="Z249" s="383"/>
      <c r="AA249" s="383"/>
      <c r="AB249" s="383"/>
    </row>
    <row r="250" spans="1:28" s="273" customFormat="1" x14ac:dyDescent="0.3">
      <c r="A250" s="377"/>
      <c r="B250" s="472">
        <v>311</v>
      </c>
      <c r="C250" s="472"/>
      <c r="D250" s="472"/>
      <c r="E250" s="472"/>
      <c r="F250" s="472"/>
      <c r="G250" s="472"/>
      <c r="H250" s="472"/>
      <c r="I250" s="472"/>
      <c r="J250" s="384"/>
      <c r="K250" s="273" t="s">
        <v>72</v>
      </c>
      <c r="L250" s="379">
        <f>SUM(L251)</f>
        <v>62874.39</v>
      </c>
      <c r="M250" s="379">
        <f>SUM(M251)</f>
        <v>76132.240000000005</v>
      </c>
      <c r="N250" s="379">
        <f>SUM(N251)</f>
        <v>133000</v>
      </c>
      <c r="O250" s="379">
        <f>SUM(O251)</f>
        <v>76200</v>
      </c>
      <c r="P250" s="379">
        <f>SUM(P251)</f>
        <v>76132.240000000005</v>
      </c>
      <c r="Q250" s="380">
        <f t="shared" si="53"/>
        <v>1.2108624831191206</v>
      </c>
      <c r="R250" s="380">
        <f t="shared" si="54"/>
        <v>1</v>
      </c>
      <c r="S250" s="380">
        <f t="shared" si="55"/>
        <v>0.99911076115485575</v>
      </c>
      <c r="T250" s="381"/>
      <c r="U250" s="383"/>
      <c r="V250" s="383"/>
      <c r="W250" s="383"/>
      <c r="X250" s="383"/>
      <c r="Y250" s="383"/>
      <c r="Z250" s="383"/>
      <c r="AA250" s="383"/>
      <c r="AB250" s="383"/>
    </row>
    <row r="251" spans="1:28" s="336" customFormat="1" x14ac:dyDescent="0.3">
      <c r="A251" s="386">
        <v>105</v>
      </c>
      <c r="B251" s="471">
        <v>311</v>
      </c>
      <c r="C251" s="471"/>
      <c r="D251" s="471"/>
      <c r="E251" s="471"/>
      <c r="F251" s="471"/>
      <c r="G251" s="471"/>
      <c r="H251" s="471"/>
      <c r="I251" s="471"/>
      <c r="J251" s="388" t="s">
        <v>525</v>
      </c>
      <c r="K251" s="336" t="s">
        <v>72</v>
      </c>
      <c r="L251" s="389">
        <f>SUM('RASHODI ZA VIJEĆE'!E22)</f>
        <v>62874.39</v>
      </c>
      <c r="M251" s="389">
        <f>SUM('RASHODI ZA VIJEĆE'!F22)</f>
        <v>76132.240000000005</v>
      </c>
      <c r="N251" s="389">
        <f>SUM('RASHODI ZA VIJEĆE'!G22)</f>
        <v>133000</v>
      </c>
      <c r="O251" s="389">
        <f>SUM('RASHODI ZA VIJEĆE'!H22)</f>
        <v>76200</v>
      </c>
      <c r="P251" s="389">
        <f>SUM('RASHODI ZA VIJEĆE'!I22)</f>
        <v>76132.240000000005</v>
      </c>
      <c r="Q251" s="390">
        <f t="shared" si="53"/>
        <v>1.2108624831191206</v>
      </c>
      <c r="R251" s="390">
        <f t="shared" si="54"/>
        <v>1</v>
      </c>
      <c r="S251" s="390">
        <f t="shared" si="55"/>
        <v>0.99911076115485575</v>
      </c>
      <c r="T251" s="391"/>
      <c r="U251" s="392"/>
      <c r="V251" s="392"/>
      <c r="W251" s="392"/>
      <c r="X251" s="392"/>
      <c r="Y251" s="392"/>
      <c r="Z251" s="392"/>
      <c r="AA251" s="392"/>
      <c r="AB251" s="392"/>
    </row>
    <row r="252" spans="1:28" s="322" customFormat="1" x14ac:dyDescent="0.3">
      <c r="A252" s="394"/>
      <c r="B252" s="472">
        <v>312</v>
      </c>
      <c r="C252" s="472"/>
      <c r="D252" s="472"/>
      <c r="E252" s="472"/>
      <c r="F252" s="472"/>
      <c r="G252" s="472"/>
      <c r="H252" s="472"/>
      <c r="I252" s="472"/>
      <c r="J252" s="395"/>
      <c r="K252" s="273" t="s">
        <v>4</v>
      </c>
      <c r="L252" s="379">
        <f>SUM(L253:L254)</f>
        <v>1800</v>
      </c>
      <c r="M252" s="379">
        <f>SUM(M253:M254)</f>
        <v>4100</v>
      </c>
      <c r="N252" s="379">
        <f>SUM(N253:N254)</f>
        <v>10000</v>
      </c>
      <c r="O252" s="379">
        <f>SUM(O253:O254)</f>
        <v>4100</v>
      </c>
      <c r="P252" s="379">
        <f>SUM(P253:P254)</f>
        <v>4100</v>
      </c>
      <c r="Q252" s="380">
        <f t="shared" si="53"/>
        <v>2.2777777777777777</v>
      </c>
      <c r="R252" s="380">
        <f t="shared" si="54"/>
        <v>1</v>
      </c>
      <c r="S252" s="380">
        <f t="shared" si="55"/>
        <v>1</v>
      </c>
      <c r="T252" s="396"/>
      <c r="U252" s="357"/>
      <c r="V252" s="357"/>
      <c r="W252" s="357"/>
      <c r="X252" s="357"/>
      <c r="Y252" s="357"/>
      <c r="Z252" s="357"/>
      <c r="AA252" s="357"/>
      <c r="AB252" s="357"/>
    </row>
    <row r="253" spans="1:28" s="336" customFormat="1" x14ac:dyDescent="0.3">
      <c r="A253" s="386">
        <v>106</v>
      </c>
      <c r="B253" s="471">
        <v>312</v>
      </c>
      <c r="C253" s="471"/>
      <c r="D253" s="471"/>
      <c r="E253" s="471"/>
      <c r="F253" s="471"/>
      <c r="G253" s="471"/>
      <c r="H253" s="471"/>
      <c r="I253" s="471"/>
      <c r="J253" s="388" t="s">
        <v>525</v>
      </c>
      <c r="K253" s="336" t="s">
        <v>4</v>
      </c>
      <c r="L253" s="389">
        <f>SUM('RASHODI ZA VIJEĆE'!E27)</f>
        <v>1800</v>
      </c>
      <c r="M253" s="389">
        <f>SUM('RASHODI ZA VIJEĆE'!F27)</f>
        <v>1800</v>
      </c>
      <c r="N253" s="389">
        <f>SUM('RASHODI ZA VIJEĆE'!G27)</f>
        <v>5000</v>
      </c>
      <c r="O253" s="389">
        <f>SUM('RASHODI ZA VIJEĆE'!H27)</f>
        <v>1800</v>
      </c>
      <c r="P253" s="389">
        <f>SUM('RASHODI ZA VIJEĆE'!I27)</f>
        <v>1800</v>
      </c>
      <c r="Q253" s="390">
        <f t="shared" si="53"/>
        <v>1</v>
      </c>
      <c r="R253" s="390">
        <f t="shared" si="54"/>
        <v>1</v>
      </c>
      <c r="S253" s="390">
        <f t="shared" si="55"/>
        <v>1</v>
      </c>
      <c r="T253" s="391"/>
      <c r="U253" s="392"/>
      <c r="V253" s="392"/>
      <c r="W253" s="392"/>
      <c r="X253" s="392"/>
      <c r="Y253" s="392"/>
      <c r="Z253" s="392"/>
      <c r="AA253" s="392"/>
      <c r="AB253" s="392"/>
    </row>
    <row r="254" spans="1:28" s="336" customFormat="1" x14ac:dyDescent="0.3">
      <c r="A254" s="386">
        <v>107</v>
      </c>
      <c r="B254" s="471">
        <v>312</v>
      </c>
      <c r="C254" s="471"/>
      <c r="D254" s="471"/>
      <c r="E254" s="471"/>
      <c r="F254" s="471"/>
      <c r="G254" s="471"/>
      <c r="H254" s="471"/>
      <c r="I254" s="471"/>
      <c r="J254" s="388" t="s">
        <v>525</v>
      </c>
      <c r="K254" s="336" t="s">
        <v>793</v>
      </c>
      <c r="L254" s="389">
        <f>SUM('RASHODI ZA VIJEĆE'!E31)</f>
        <v>0</v>
      </c>
      <c r="M254" s="389">
        <f>SUM('RASHODI ZA VIJEĆE'!F31)</f>
        <v>2300</v>
      </c>
      <c r="N254" s="389">
        <f>SUM('RASHODI ZA VIJEĆE'!G31)</f>
        <v>5000</v>
      </c>
      <c r="O254" s="389">
        <f>SUM('RASHODI ZA VIJEĆE'!H31)</f>
        <v>2300</v>
      </c>
      <c r="P254" s="389">
        <f>SUM('RASHODI ZA VIJEĆE'!I31)</f>
        <v>2300</v>
      </c>
      <c r="Q254" s="390">
        <f t="shared" si="53"/>
        <v>0</v>
      </c>
      <c r="R254" s="390">
        <f t="shared" si="54"/>
        <v>1</v>
      </c>
      <c r="S254" s="390">
        <f t="shared" si="55"/>
        <v>1</v>
      </c>
      <c r="T254" s="391"/>
      <c r="U254" s="392"/>
      <c r="V254" s="392"/>
      <c r="W254" s="392"/>
      <c r="X254" s="392"/>
      <c r="Y254" s="392"/>
      <c r="Z254" s="392"/>
      <c r="AA254" s="392"/>
      <c r="AB254" s="392"/>
    </row>
    <row r="255" spans="1:28" s="273" customFormat="1" x14ac:dyDescent="0.3">
      <c r="A255" s="377"/>
      <c r="B255" s="472">
        <v>313</v>
      </c>
      <c r="C255" s="472"/>
      <c r="D255" s="472"/>
      <c r="E255" s="472"/>
      <c r="F255" s="472"/>
      <c r="G255" s="472"/>
      <c r="H255" s="472"/>
      <c r="I255" s="472"/>
      <c r="J255" s="384"/>
      <c r="K255" s="273" t="s">
        <v>112</v>
      </c>
      <c r="L255" s="379">
        <f>SUM(L256:L257)</f>
        <v>28686.46</v>
      </c>
      <c r="M255" s="379">
        <f>SUM(M256:M257)</f>
        <v>34735.350000000006</v>
      </c>
      <c r="N255" s="379">
        <f>SUM(N256:N257)</f>
        <v>84000</v>
      </c>
      <c r="O255" s="379">
        <f>SUM(O256:O257)</f>
        <v>34900</v>
      </c>
      <c r="P255" s="379">
        <f>SUM(P256:P257)</f>
        <v>34735.350000000006</v>
      </c>
      <c r="Q255" s="380">
        <f t="shared" si="53"/>
        <v>1.2108621977058169</v>
      </c>
      <c r="R255" s="380">
        <f t="shared" si="54"/>
        <v>1</v>
      </c>
      <c r="S255" s="380">
        <f t="shared" si="55"/>
        <v>0.99528223495702017</v>
      </c>
      <c r="T255" s="381"/>
      <c r="U255" s="383"/>
      <c r="V255" s="383"/>
      <c r="W255" s="383"/>
      <c r="X255" s="383"/>
      <c r="Y255" s="383"/>
      <c r="Z255" s="383"/>
      <c r="AA255" s="383"/>
      <c r="AB255" s="383"/>
    </row>
    <row r="256" spans="1:28" s="336" customFormat="1" x14ac:dyDescent="0.3">
      <c r="A256" s="386">
        <v>108</v>
      </c>
      <c r="B256" s="471">
        <v>313</v>
      </c>
      <c r="C256" s="471"/>
      <c r="D256" s="471"/>
      <c r="E256" s="471"/>
      <c r="F256" s="471"/>
      <c r="G256" s="471"/>
      <c r="H256" s="471"/>
      <c r="I256" s="471"/>
      <c r="J256" s="388" t="s">
        <v>525</v>
      </c>
      <c r="K256" s="336" t="s">
        <v>74</v>
      </c>
      <c r="L256" s="389">
        <f>SUM('RASHODI ZA VIJEĆE'!E36+'RASHODI ZA VIJEĆE'!E39)</f>
        <v>15718.62</v>
      </c>
      <c r="M256" s="389">
        <f>SUM('RASHODI ZA VIJEĆE'!F36+'RASHODI ZA VIJEĆE'!F39)</f>
        <v>19033.080000000002</v>
      </c>
      <c r="N256" s="389">
        <f>SUM('RASHODI ZA VIJEĆE'!G36+'RASHODI ZA VIJEĆE'!G39)</f>
        <v>37000</v>
      </c>
      <c r="O256" s="389">
        <f>SUM('RASHODI ZA VIJEĆE'!H36+'RASHODI ZA VIJEĆE'!H39)</f>
        <v>19100</v>
      </c>
      <c r="P256" s="389">
        <f>SUM('RASHODI ZA VIJEĆE'!I36+'RASHODI ZA VIJEĆE'!I39)</f>
        <v>19033.080000000002</v>
      </c>
      <c r="Q256" s="390">
        <f t="shared" si="53"/>
        <v>1.2108620222385935</v>
      </c>
      <c r="R256" s="390">
        <f t="shared" si="54"/>
        <v>1</v>
      </c>
      <c r="S256" s="390">
        <f t="shared" si="55"/>
        <v>0.99649633507853408</v>
      </c>
      <c r="T256" s="391"/>
      <c r="U256" s="392"/>
      <c r="V256" s="392"/>
      <c r="W256" s="392"/>
      <c r="X256" s="392"/>
      <c r="Y256" s="392"/>
      <c r="Z256" s="392"/>
      <c r="AA256" s="392"/>
      <c r="AB256" s="392"/>
    </row>
    <row r="257" spans="1:28" s="336" customFormat="1" x14ac:dyDescent="0.3">
      <c r="A257" s="386">
        <v>109</v>
      </c>
      <c r="B257" s="471">
        <v>313</v>
      </c>
      <c r="C257" s="471"/>
      <c r="D257" s="471"/>
      <c r="E257" s="471"/>
      <c r="F257" s="471"/>
      <c r="G257" s="471"/>
      <c r="H257" s="471"/>
      <c r="I257" s="471"/>
      <c r="J257" s="388" t="s">
        <v>525</v>
      </c>
      <c r="K257" s="336" t="s">
        <v>71</v>
      </c>
      <c r="L257" s="389">
        <f>SUM('RASHODI ZA VIJEĆE'!E43)</f>
        <v>12967.84</v>
      </c>
      <c r="M257" s="389">
        <f>SUM('RASHODI ZA VIJEĆE'!F43)</f>
        <v>15702.27</v>
      </c>
      <c r="N257" s="389">
        <f>SUM('RASHODI ZA VIJEĆE'!G43)</f>
        <v>47000</v>
      </c>
      <c r="O257" s="389">
        <f>SUM('RASHODI ZA VIJEĆE'!H43)</f>
        <v>15800</v>
      </c>
      <c r="P257" s="389">
        <f>SUM('RASHODI ZA VIJEĆE'!I43)</f>
        <v>15702.27</v>
      </c>
      <c r="Q257" s="390">
        <f t="shared" si="53"/>
        <v>1.2108624103937125</v>
      </c>
      <c r="R257" s="390">
        <f t="shared" si="54"/>
        <v>1</v>
      </c>
      <c r="S257" s="390">
        <f t="shared" si="55"/>
        <v>0.99381455696202536</v>
      </c>
      <c r="T257" s="391"/>
      <c r="U257" s="392"/>
      <c r="V257" s="392"/>
      <c r="W257" s="392"/>
      <c r="X257" s="392"/>
      <c r="Y257" s="392"/>
      <c r="Z257" s="392"/>
      <c r="AA257" s="392"/>
      <c r="AB257" s="392"/>
    </row>
    <row r="258" spans="1:28" s="322" customFormat="1" x14ac:dyDescent="0.3">
      <c r="A258" s="394"/>
      <c r="B258" s="472">
        <v>32</v>
      </c>
      <c r="C258" s="472"/>
      <c r="D258" s="472"/>
      <c r="E258" s="472"/>
      <c r="F258" s="472"/>
      <c r="G258" s="472"/>
      <c r="H258" s="472"/>
      <c r="I258" s="472"/>
      <c r="J258" s="395"/>
      <c r="K258" s="273" t="s">
        <v>3</v>
      </c>
      <c r="L258" s="379">
        <f>SUM(L259+L262+L264+L267)</f>
        <v>5487.0000000000009</v>
      </c>
      <c r="M258" s="379">
        <f>SUM(M259+M262+M264+M267)</f>
        <v>6128.24</v>
      </c>
      <c r="N258" s="379">
        <f>SUM(N259+N262+N264+N267)</f>
        <v>28000</v>
      </c>
      <c r="O258" s="379">
        <f>SUM(O259+O262+O264+O267)</f>
        <v>9200</v>
      </c>
      <c r="P258" s="379">
        <f>SUM(P259+P262+P264+P267)</f>
        <v>6128.24</v>
      </c>
      <c r="Q258" s="380">
        <f t="shared" si="53"/>
        <v>1.1168653180244212</v>
      </c>
      <c r="R258" s="380">
        <f t="shared" si="54"/>
        <v>1</v>
      </c>
      <c r="S258" s="380">
        <f t="shared" si="55"/>
        <v>0.66611304347826084</v>
      </c>
      <c r="T258" s="396"/>
      <c r="U258" s="357"/>
      <c r="V258" s="357"/>
      <c r="W258" s="357"/>
      <c r="X258" s="357"/>
      <c r="Y258" s="357"/>
      <c r="Z258" s="357"/>
      <c r="AA258" s="357"/>
      <c r="AB258" s="357"/>
    </row>
    <row r="259" spans="1:28" s="322" customFormat="1" x14ac:dyDescent="0.3">
      <c r="A259" s="394"/>
      <c r="B259" s="472">
        <v>321</v>
      </c>
      <c r="C259" s="472"/>
      <c r="D259" s="472"/>
      <c r="E259" s="472"/>
      <c r="F259" s="472"/>
      <c r="G259" s="472"/>
      <c r="H259" s="472"/>
      <c r="I259" s="472"/>
      <c r="J259" s="395"/>
      <c r="K259" s="273" t="s">
        <v>1</v>
      </c>
      <c r="L259" s="379">
        <f>SUM(L260:L261)</f>
        <v>0</v>
      </c>
      <c r="M259" s="379">
        <f>SUM(M260:M261)</f>
        <v>0</v>
      </c>
      <c r="N259" s="379">
        <f>SUM(N260:N261)</f>
        <v>8500</v>
      </c>
      <c r="O259" s="379">
        <f>SUM(O260:O261)</f>
        <v>0</v>
      </c>
      <c r="P259" s="379">
        <f>SUM(P260:P261)</f>
        <v>0</v>
      </c>
      <c r="Q259" s="380">
        <f t="shared" si="53"/>
        <v>0</v>
      </c>
      <c r="R259" s="380">
        <f t="shared" si="54"/>
        <v>0</v>
      </c>
      <c r="S259" s="380">
        <f t="shared" si="55"/>
        <v>0</v>
      </c>
      <c r="T259" s="396"/>
      <c r="U259" s="357"/>
      <c r="V259" s="357"/>
      <c r="W259" s="357"/>
      <c r="X259" s="357"/>
      <c r="Y259" s="357"/>
      <c r="Z259" s="357"/>
      <c r="AA259" s="357"/>
      <c r="AB259" s="357"/>
    </row>
    <row r="260" spans="1:28" s="336" customFormat="1" x14ac:dyDescent="0.3">
      <c r="A260" s="386"/>
      <c r="B260" s="471">
        <v>321</v>
      </c>
      <c r="C260" s="471"/>
      <c r="D260" s="471"/>
      <c r="E260" s="471"/>
      <c r="F260" s="471"/>
      <c r="G260" s="471"/>
      <c r="H260" s="471"/>
      <c r="I260" s="471"/>
      <c r="J260" s="388" t="s">
        <v>525</v>
      </c>
      <c r="K260" s="336" t="s">
        <v>856</v>
      </c>
      <c r="L260" s="389">
        <f>SUM('RASHODI ZA VIJEĆE'!E62)</f>
        <v>0</v>
      </c>
      <c r="M260" s="389">
        <f>SUM('RASHODI ZA VIJEĆE'!F62)</f>
        <v>0</v>
      </c>
      <c r="N260" s="389">
        <f>SUM('RASHODI ZA VIJEĆE'!G62)</f>
        <v>2000</v>
      </c>
      <c r="O260" s="389">
        <f>SUM('RASHODI ZA VIJEĆE'!H62)</f>
        <v>0</v>
      </c>
      <c r="P260" s="389">
        <f>SUM('RASHODI ZA VIJEĆE'!I62)</f>
        <v>0</v>
      </c>
      <c r="Q260" s="390">
        <f t="shared" si="53"/>
        <v>0</v>
      </c>
      <c r="R260" s="390">
        <f t="shared" si="54"/>
        <v>0</v>
      </c>
      <c r="S260" s="390">
        <f t="shared" si="55"/>
        <v>0</v>
      </c>
      <c r="T260" s="391"/>
      <c r="U260" s="392"/>
      <c r="V260" s="392"/>
      <c r="W260" s="392"/>
      <c r="X260" s="392"/>
      <c r="Y260" s="392"/>
      <c r="Z260" s="392"/>
      <c r="AA260" s="392"/>
      <c r="AB260" s="392"/>
    </row>
    <row r="261" spans="1:28" s="336" customFormat="1" x14ac:dyDescent="0.3">
      <c r="A261" s="386">
        <v>110</v>
      </c>
      <c r="B261" s="471">
        <v>321</v>
      </c>
      <c r="C261" s="471"/>
      <c r="D261" s="471"/>
      <c r="E261" s="471"/>
      <c r="F261" s="471"/>
      <c r="G261" s="471"/>
      <c r="H261" s="471"/>
      <c r="I261" s="471"/>
      <c r="J261" s="388" t="s">
        <v>525</v>
      </c>
      <c r="K261" s="336" t="s">
        <v>75</v>
      </c>
      <c r="L261" s="389">
        <f>SUM('RASHODI ZA VIJEĆE'!E57)</f>
        <v>0</v>
      </c>
      <c r="M261" s="389">
        <f>SUM('RASHODI ZA VIJEĆE'!F57)</f>
        <v>0</v>
      </c>
      <c r="N261" s="389">
        <f>SUM('RASHODI ZA VIJEĆE'!G57)</f>
        <v>6500</v>
      </c>
      <c r="O261" s="389">
        <f>SUM('RASHODI ZA VIJEĆE'!H57)</f>
        <v>0</v>
      </c>
      <c r="P261" s="389">
        <f>SUM('RASHODI ZA VIJEĆE'!I57)</f>
        <v>0</v>
      </c>
      <c r="Q261" s="390">
        <f t="shared" si="53"/>
        <v>0</v>
      </c>
      <c r="R261" s="390">
        <f t="shared" si="54"/>
        <v>0</v>
      </c>
      <c r="S261" s="390">
        <f t="shared" si="55"/>
        <v>0</v>
      </c>
      <c r="T261" s="391"/>
      <c r="U261" s="392"/>
      <c r="V261" s="392"/>
      <c r="W261" s="392"/>
      <c r="X261" s="392"/>
      <c r="Y261" s="392"/>
      <c r="Z261" s="392"/>
      <c r="AA261" s="392"/>
      <c r="AB261" s="392"/>
    </row>
    <row r="262" spans="1:28" s="322" customFormat="1" x14ac:dyDescent="0.3">
      <c r="A262" s="394"/>
      <c r="B262" s="472">
        <v>322</v>
      </c>
      <c r="C262" s="472"/>
      <c r="D262" s="472"/>
      <c r="E262" s="472"/>
      <c r="F262" s="472"/>
      <c r="G262" s="472"/>
      <c r="H262" s="472"/>
      <c r="I262" s="472"/>
      <c r="J262" s="395"/>
      <c r="K262" s="273" t="s">
        <v>6</v>
      </c>
      <c r="L262" s="379">
        <f>SUM(L263)</f>
        <v>3063</v>
      </c>
      <c r="M262" s="379">
        <f>SUM(M263)</f>
        <v>3063</v>
      </c>
      <c r="N262" s="379">
        <f>SUM(N263)</f>
        <v>10000</v>
      </c>
      <c r="O262" s="379">
        <f>SUM(O263)</f>
        <v>6000</v>
      </c>
      <c r="P262" s="379">
        <f>SUM(P263)</f>
        <v>3063</v>
      </c>
      <c r="Q262" s="380">
        <f t="shared" si="53"/>
        <v>1</v>
      </c>
      <c r="R262" s="380">
        <f t="shared" si="54"/>
        <v>1</v>
      </c>
      <c r="S262" s="380">
        <f t="shared" si="55"/>
        <v>0.51049999999999995</v>
      </c>
      <c r="T262" s="396"/>
      <c r="U262" s="357"/>
      <c r="V262" s="357"/>
      <c r="W262" s="357"/>
      <c r="X262" s="357"/>
      <c r="Y262" s="357"/>
      <c r="Z262" s="357"/>
      <c r="AA262" s="357"/>
      <c r="AB262" s="357"/>
    </row>
    <row r="263" spans="1:28" s="336" customFormat="1" x14ac:dyDescent="0.3">
      <c r="A263" s="386">
        <v>111</v>
      </c>
      <c r="B263" s="471">
        <v>322</v>
      </c>
      <c r="C263" s="471"/>
      <c r="D263" s="471"/>
      <c r="E263" s="471"/>
      <c r="F263" s="471"/>
      <c r="G263" s="471"/>
      <c r="H263" s="471"/>
      <c r="I263" s="471"/>
      <c r="J263" s="388" t="s">
        <v>525</v>
      </c>
      <c r="K263" s="336" t="s">
        <v>794</v>
      </c>
      <c r="L263" s="389">
        <f>SUM('RASHODI ZA VIJEĆE'!E73)</f>
        <v>3063</v>
      </c>
      <c r="M263" s="389">
        <f>SUM('RASHODI ZA VIJEĆE'!F73)</f>
        <v>3063</v>
      </c>
      <c r="N263" s="389">
        <f>SUM('RASHODI ZA VIJEĆE'!G73)</f>
        <v>10000</v>
      </c>
      <c r="O263" s="389">
        <f>SUM('RASHODI ZA VIJEĆE'!H73)</f>
        <v>6000</v>
      </c>
      <c r="P263" s="389">
        <f>SUM('RASHODI ZA VIJEĆE'!I73)</f>
        <v>3063</v>
      </c>
      <c r="Q263" s="390">
        <f t="shared" si="53"/>
        <v>1</v>
      </c>
      <c r="R263" s="390">
        <f t="shared" si="54"/>
        <v>1</v>
      </c>
      <c r="S263" s="390">
        <f t="shared" si="55"/>
        <v>0.51049999999999995</v>
      </c>
      <c r="T263" s="391"/>
      <c r="U263" s="392"/>
      <c r="V263" s="392"/>
      <c r="W263" s="392"/>
      <c r="X263" s="392"/>
      <c r="Y263" s="392"/>
      <c r="Z263" s="392"/>
      <c r="AA263" s="392"/>
      <c r="AB263" s="392"/>
    </row>
    <row r="264" spans="1:28" s="322" customFormat="1" x14ac:dyDescent="0.3">
      <c r="A264" s="394"/>
      <c r="B264" s="472">
        <v>323</v>
      </c>
      <c r="C264" s="472"/>
      <c r="D264" s="472"/>
      <c r="E264" s="472"/>
      <c r="F264" s="472"/>
      <c r="G264" s="472"/>
      <c r="H264" s="472"/>
      <c r="I264" s="472"/>
      <c r="J264" s="395"/>
      <c r="K264" s="273" t="s">
        <v>2</v>
      </c>
      <c r="L264" s="379">
        <f>SUM(L265:L266)</f>
        <v>2224.94</v>
      </c>
      <c r="M264" s="379">
        <f>SUM(M265:M266)</f>
        <v>2309.88</v>
      </c>
      <c r="N264" s="379">
        <f>SUM(N265:N266)</f>
        <v>9500</v>
      </c>
      <c r="O264" s="379">
        <f>SUM(O265:O266)</f>
        <v>2400</v>
      </c>
      <c r="P264" s="379">
        <f>SUM(P265:P266)</f>
        <v>2309.88</v>
      </c>
      <c r="Q264" s="380">
        <f t="shared" si="53"/>
        <v>1.0381763103724146</v>
      </c>
      <c r="R264" s="380">
        <f t="shared" si="54"/>
        <v>1</v>
      </c>
      <c r="S264" s="380">
        <f t="shared" si="55"/>
        <v>0.96245000000000003</v>
      </c>
      <c r="T264" s="396"/>
      <c r="U264" s="357"/>
      <c r="V264" s="357"/>
      <c r="W264" s="357"/>
      <c r="X264" s="357"/>
      <c r="Y264" s="357"/>
      <c r="Z264" s="357"/>
      <c r="AA264" s="357"/>
      <c r="AB264" s="357"/>
    </row>
    <row r="265" spans="1:28" s="336" customFormat="1" x14ac:dyDescent="0.3">
      <c r="A265" s="386">
        <v>112</v>
      </c>
      <c r="B265" s="471">
        <v>323</v>
      </c>
      <c r="C265" s="471"/>
      <c r="D265" s="471"/>
      <c r="E265" s="471"/>
      <c r="F265" s="471"/>
      <c r="G265" s="471"/>
      <c r="H265" s="471"/>
      <c r="I265" s="471"/>
      <c r="J265" s="388" t="s">
        <v>525</v>
      </c>
      <c r="K265" s="336" t="s">
        <v>795</v>
      </c>
      <c r="L265" s="389">
        <f>SUM('RASHODI ZA VIJEĆE'!E163+'RASHODI ZA VIJEĆE'!E174)</f>
        <v>2224.94</v>
      </c>
      <c r="M265" s="389">
        <f>SUM('RASHODI ZA VIJEĆE'!F163+'RASHODI ZA VIJEĆE'!F174)</f>
        <v>2309.88</v>
      </c>
      <c r="N265" s="389">
        <f>SUM('RASHODI ZA VIJEĆE'!G163+'RASHODI ZA VIJEĆE'!G174)</f>
        <v>4000</v>
      </c>
      <c r="O265" s="389">
        <f>SUM('RASHODI ZA VIJEĆE'!H163+'RASHODI ZA VIJEĆE'!H174)</f>
        <v>2400</v>
      </c>
      <c r="P265" s="389">
        <f>SUM('RASHODI ZA VIJEĆE'!I163+'RASHODI ZA VIJEĆE'!I174)</f>
        <v>2309.88</v>
      </c>
      <c r="Q265" s="390">
        <f t="shared" si="53"/>
        <v>1.0381763103724146</v>
      </c>
      <c r="R265" s="390">
        <f t="shared" si="54"/>
        <v>1</v>
      </c>
      <c r="S265" s="390">
        <f t="shared" si="55"/>
        <v>0.96245000000000003</v>
      </c>
      <c r="T265" s="391"/>
      <c r="U265" s="392"/>
      <c r="V265" s="392"/>
      <c r="W265" s="392"/>
      <c r="X265" s="392"/>
      <c r="Y265" s="392"/>
      <c r="Z265" s="392"/>
      <c r="AA265" s="392"/>
      <c r="AB265" s="392"/>
    </row>
    <row r="266" spans="1:28" s="336" customFormat="1" x14ac:dyDescent="0.3">
      <c r="A266" s="386"/>
      <c r="B266" s="471">
        <v>323</v>
      </c>
      <c r="C266" s="471"/>
      <c r="D266" s="471"/>
      <c r="E266" s="471"/>
      <c r="F266" s="471"/>
      <c r="G266" s="471"/>
      <c r="H266" s="471"/>
      <c r="I266" s="471"/>
      <c r="J266" s="388" t="s">
        <v>525</v>
      </c>
      <c r="K266" s="336" t="s">
        <v>907</v>
      </c>
      <c r="L266" s="389">
        <f>SUM('RASHODI ZA VIJEĆE'!E155)</f>
        <v>0</v>
      </c>
      <c r="M266" s="389">
        <f>SUM('RASHODI ZA VIJEĆE'!F155)</f>
        <v>0</v>
      </c>
      <c r="N266" s="389">
        <f>SUM('RASHODI ZA VIJEĆE'!G155)</f>
        <v>5500</v>
      </c>
      <c r="O266" s="389">
        <f>SUM('RASHODI ZA VIJEĆE'!H155)</f>
        <v>0</v>
      </c>
      <c r="P266" s="389">
        <f>SUM('RASHODI ZA VIJEĆE'!I155)</f>
        <v>0</v>
      </c>
      <c r="Q266" s="390">
        <f t="shared" si="53"/>
        <v>0</v>
      </c>
      <c r="R266" s="390">
        <f t="shared" si="54"/>
        <v>0</v>
      </c>
      <c r="S266" s="390">
        <f t="shared" si="55"/>
        <v>0</v>
      </c>
      <c r="T266" s="391"/>
      <c r="U266" s="392"/>
      <c r="V266" s="392"/>
      <c r="W266" s="392"/>
      <c r="X266" s="392"/>
      <c r="Y266" s="392"/>
      <c r="Z266" s="392"/>
      <c r="AA266" s="392"/>
      <c r="AB266" s="392"/>
    </row>
    <row r="267" spans="1:28" s="322" customFormat="1" x14ac:dyDescent="0.3">
      <c r="A267" s="394"/>
      <c r="B267" s="472">
        <v>329</v>
      </c>
      <c r="C267" s="472"/>
      <c r="D267" s="472"/>
      <c r="E267" s="472"/>
      <c r="F267" s="472"/>
      <c r="G267" s="472"/>
      <c r="H267" s="472"/>
      <c r="I267" s="472"/>
      <c r="J267" s="395"/>
      <c r="K267" s="273" t="s">
        <v>7</v>
      </c>
      <c r="L267" s="379">
        <f>SUM(L268)</f>
        <v>199.06</v>
      </c>
      <c r="M267" s="379">
        <f>SUM(M268)</f>
        <v>755.36</v>
      </c>
      <c r="N267" s="379">
        <f>SUM(N268)</f>
        <v>0</v>
      </c>
      <c r="O267" s="379">
        <f>SUM(O268)</f>
        <v>800</v>
      </c>
      <c r="P267" s="379">
        <f>SUM(P268)</f>
        <v>755.36</v>
      </c>
      <c r="Q267" s="380">
        <f t="shared" si="53"/>
        <v>3.7946347834823673</v>
      </c>
      <c r="R267" s="380">
        <f t="shared" si="54"/>
        <v>1</v>
      </c>
      <c r="S267" s="380">
        <f t="shared" si="55"/>
        <v>0.94420000000000004</v>
      </c>
      <c r="T267" s="396"/>
      <c r="U267" s="357"/>
      <c r="V267" s="357"/>
      <c r="W267" s="357"/>
      <c r="X267" s="357"/>
      <c r="Y267" s="357"/>
      <c r="Z267" s="357"/>
      <c r="AA267" s="357"/>
      <c r="AB267" s="357"/>
    </row>
    <row r="268" spans="1:28" s="336" customFormat="1" x14ac:dyDescent="0.3">
      <c r="A268" s="386">
        <v>113</v>
      </c>
      <c r="B268" s="471">
        <v>329</v>
      </c>
      <c r="C268" s="471"/>
      <c r="D268" s="471"/>
      <c r="E268" s="471"/>
      <c r="F268" s="471"/>
      <c r="G268" s="471"/>
      <c r="H268" s="471"/>
      <c r="I268" s="471"/>
      <c r="J268" s="388" t="s">
        <v>525</v>
      </c>
      <c r="K268" s="336" t="s">
        <v>275</v>
      </c>
      <c r="L268" s="389">
        <f>SUM('RASHODI ZA VIJEĆE'!E199)</f>
        <v>199.06</v>
      </c>
      <c r="M268" s="389">
        <f>SUM('RASHODI ZA VIJEĆE'!F199)</f>
        <v>755.36</v>
      </c>
      <c r="N268" s="389">
        <f>SUM('RASHODI ZA VIJEĆE'!G199)</f>
        <v>0</v>
      </c>
      <c r="O268" s="389">
        <f>SUM('RASHODI ZA VIJEĆE'!H199)</f>
        <v>800</v>
      </c>
      <c r="P268" s="389">
        <f>SUM('RASHODI ZA VIJEĆE'!I199)</f>
        <v>755.36</v>
      </c>
      <c r="Q268" s="390">
        <f t="shared" si="53"/>
        <v>3.7946347834823673</v>
      </c>
      <c r="R268" s="390">
        <f t="shared" si="54"/>
        <v>1</v>
      </c>
      <c r="S268" s="390">
        <f t="shared" si="55"/>
        <v>0.94420000000000004</v>
      </c>
      <c r="T268" s="391"/>
      <c r="U268" s="392"/>
      <c r="V268" s="392"/>
      <c r="W268" s="392"/>
      <c r="X268" s="392"/>
      <c r="Y268" s="392"/>
      <c r="Z268" s="392"/>
      <c r="AA268" s="392"/>
      <c r="AB268" s="392"/>
    </row>
    <row r="269" spans="1:28" s="322" customFormat="1" x14ac:dyDescent="0.3">
      <c r="A269" s="394"/>
      <c r="B269" s="472" t="s">
        <v>825</v>
      </c>
      <c r="C269" s="472"/>
      <c r="D269" s="472"/>
      <c r="E269" s="472"/>
      <c r="F269" s="472"/>
      <c r="G269" s="472"/>
      <c r="H269" s="472"/>
      <c r="I269" s="472"/>
      <c r="J269" s="472"/>
      <c r="K269" s="472"/>
      <c r="L269" s="379"/>
      <c r="M269" s="379"/>
      <c r="N269" s="379"/>
      <c r="O269" s="379"/>
      <c r="P269" s="379"/>
      <c r="Q269" s="380"/>
      <c r="R269" s="380"/>
      <c r="S269" s="380"/>
      <c r="T269" s="381"/>
      <c r="U269" s="357"/>
      <c r="V269" s="357"/>
      <c r="W269" s="357"/>
      <c r="X269" s="357"/>
      <c r="Y269" s="357"/>
      <c r="Z269" s="357"/>
      <c r="AA269" s="357"/>
      <c r="AB269" s="357"/>
    </row>
    <row r="270" spans="1:28" s="322" customFormat="1" x14ac:dyDescent="0.3">
      <c r="A270" s="394"/>
      <c r="B270" s="472">
        <v>3</v>
      </c>
      <c r="C270" s="472"/>
      <c r="D270" s="472"/>
      <c r="E270" s="472"/>
      <c r="F270" s="472"/>
      <c r="G270" s="472"/>
      <c r="H270" s="472"/>
      <c r="I270" s="472"/>
      <c r="J270" s="395"/>
      <c r="K270" s="273" t="s">
        <v>20</v>
      </c>
      <c r="L270" s="379">
        <f>SUM(L271)</f>
        <v>34840.15</v>
      </c>
      <c r="M270" s="379">
        <f>SUM(M271)</f>
        <v>96833.22</v>
      </c>
      <c r="N270" s="379">
        <f>SUM(N271)</f>
        <v>152500</v>
      </c>
      <c r="O270" s="379">
        <f>SUM(O271)</f>
        <v>122500</v>
      </c>
      <c r="P270" s="379">
        <f>SUM(P271)</f>
        <v>96833.22</v>
      </c>
      <c r="Q270" s="380">
        <f t="shared" ref="Q270:Q280" si="56">IFERROR(SUM(P270/L270),0)</f>
        <v>2.7793571497252452</v>
      </c>
      <c r="R270" s="380">
        <f t="shared" ref="R270:R280" si="57">IFERROR(SUM(P270/M270),0)</f>
        <v>1</v>
      </c>
      <c r="S270" s="380">
        <f t="shared" ref="S270:S280" si="58">IFERROR(SUM(P270/O270),0)</f>
        <v>0.79047526530612244</v>
      </c>
      <c r="T270" s="381"/>
      <c r="U270" s="357"/>
      <c r="V270" s="357"/>
      <c r="W270" s="357"/>
      <c r="X270" s="357"/>
      <c r="Y270" s="357"/>
      <c r="Z270" s="357"/>
      <c r="AA270" s="357"/>
      <c r="AB270" s="357"/>
    </row>
    <row r="271" spans="1:28" s="322" customFormat="1" x14ac:dyDescent="0.3">
      <c r="A271" s="394"/>
      <c r="B271" s="472">
        <v>37</v>
      </c>
      <c r="C271" s="472"/>
      <c r="D271" s="472"/>
      <c r="E271" s="472"/>
      <c r="F271" s="472"/>
      <c r="G271" s="472"/>
      <c r="H271" s="472"/>
      <c r="I271" s="472"/>
      <c r="J271" s="395"/>
      <c r="K271" s="273" t="s">
        <v>21</v>
      </c>
      <c r="L271" s="379">
        <f>SUM(L272:L280)</f>
        <v>34840.15</v>
      </c>
      <c r="M271" s="379">
        <f>SUM(M272:M280)</f>
        <v>96833.22</v>
      </c>
      <c r="N271" s="379">
        <f>SUM(N272:N280)</f>
        <v>152500</v>
      </c>
      <c r="O271" s="379">
        <f>SUM(O272:O280)</f>
        <v>122500</v>
      </c>
      <c r="P271" s="379">
        <f>SUM(P272:P280)</f>
        <v>96833.22</v>
      </c>
      <c r="Q271" s="380">
        <f t="shared" si="56"/>
        <v>2.7793571497252452</v>
      </c>
      <c r="R271" s="380">
        <f t="shared" si="57"/>
        <v>1</v>
      </c>
      <c r="S271" s="380">
        <f t="shared" si="58"/>
        <v>0.79047526530612244</v>
      </c>
      <c r="T271" s="381"/>
      <c r="U271" s="357"/>
      <c r="V271" s="357"/>
      <c r="W271" s="357"/>
      <c r="X271" s="357"/>
      <c r="Y271" s="357"/>
      <c r="Z271" s="357"/>
      <c r="AA271" s="357"/>
      <c r="AB271" s="357"/>
    </row>
    <row r="272" spans="1:28" s="336" customFormat="1" x14ac:dyDescent="0.3">
      <c r="A272" s="386">
        <v>114</v>
      </c>
      <c r="B272" s="471">
        <v>372</v>
      </c>
      <c r="C272" s="471"/>
      <c r="D272" s="471"/>
      <c r="E272" s="471"/>
      <c r="F272" s="471"/>
      <c r="G272" s="471"/>
      <c r="H272" s="471"/>
      <c r="I272" s="471"/>
      <c r="J272" s="388" t="s">
        <v>522</v>
      </c>
      <c r="K272" s="336" t="s">
        <v>21</v>
      </c>
      <c r="L272" s="389">
        <f>SUM('RASHODI ZA VIJEĆE'!E246+'RASHODI ZA VIJEĆE'!E252+'RASHODI ZA VIJEĆE'!E253+'RASHODI ZA VIJEĆE'!E250)</f>
        <v>10122.64</v>
      </c>
      <c r="M272" s="389">
        <f>SUM('RASHODI ZA VIJEĆE'!F246+'RASHODI ZA VIJEĆE'!F252+'RASHODI ZA VIJEĆE'!F253+'RASHODI ZA VIJEĆE'!F250)</f>
        <v>19859.349999999999</v>
      </c>
      <c r="N272" s="389">
        <f>SUM('RASHODI ZA VIJEĆE'!G246+'RASHODI ZA VIJEĆE'!G252+'RASHODI ZA VIJEĆE'!G253+'RASHODI ZA VIJEĆE'!G250)</f>
        <v>38000</v>
      </c>
      <c r="O272" s="389">
        <f>SUM('RASHODI ZA VIJEĆE'!H246+'RASHODI ZA VIJEĆE'!H252+'RASHODI ZA VIJEĆE'!H253+'RASHODI ZA VIJEĆE'!H250)</f>
        <v>23500</v>
      </c>
      <c r="P272" s="389">
        <f>SUM('RASHODI ZA VIJEĆE'!I246+'RASHODI ZA VIJEĆE'!I252+'RASHODI ZA VIJEĆE'!I253+'RASHODI ZA VIJEĆE'!I250)</f>
        <v>19859.349999999999</v>
      </c>
      <c r="Q272" s="390">
        <f t="shared" si="56"/>
        <v>1.9618745702702061</v>
      </c>
      <c r="R272" s="390">
        <f t="shared" si="57"/>
        <v>1</v>
      </c>
      <c r="S272" s="390">
        <f t="shared" si="58"/>
        <v>0.84507872340425527</v>
      </c>
      <c r="T272" s="391" t="s">
        <v>493</v>
      </c>
      <c r="U272" s="392"/>
      <c r="V272" s="392"/>
      <c r="W272" s="392"/>
      <c r="X272" s="392"/>
      <c r="Y272" s="392"/>
      <c r="Z272" s="392"/>
      <c r="AA272" s="392"/>
      <c r="AB272" s="392"/>
    </row>
    <row r="273" spans="1:28" s="336" customFormat="1" x14ac:dyDescent="0.3">
      <c r="A273" s="386">
        <v>115</v>
      </c>
      <c r="B273" s="471">
        <v>372</v>
      </c>
      <c r="C273" s="471"/>
      <c r="D273" s="471"/>
      <c r="E273" s="471"/>
      <c r="F273" s="471"/>
      <c r="G273" s="471"/>
      <c r="H273" s="471"/>
      <c r="I273" s="471"/>
      <c r="J273" s="388" t="s">
        <v>523</v>
      </c>
      <c r="K273" s="336" t="s">
        <v>492</v>
      </c>
      <c r="L273" s="389">
        <f>SUM('RASHODI ZA VIJEĆE'!E249)</f>
        <v>8100</v>
      </c>
      <c r="M273" s="389">
        <f>SUM('RASHODI ZA VIJEĆE'!F249)</f>
        <v>20700</v>
      </c>
      <c r="N273" s="389">
        <f>SUM('RASHODI ZA VIJEĆE'!G249)</f>
        <v>20000</v>
      </c>
      <c r="O273" s="389">
        <f>SUM('RASHODI ZA VIJEĆE'!H249)</f>
        <v>22000</v>
      </c>
      <c r="P273" s="389">
        <f>SUM('RASHODI ZA VIJEĆE'!I249)</f>
        <v>20700</v>
      </c>
      <c r="Q273" s="390">
        <f t="shared" si="56"/>
        <v>2.5555555555555554</v>
      </c>
      <c r="R273" s="390">
        <f t="shared" si="57"/>
        <v>1</v>
      </c>
      <c r="S273" s="390">
        <f t="shared" si="58"/>
        <v>0.94090909090909092</v>
      </c>
      <c r="T273" s="391">
        <v>236</v>
      </c>
      <c r="U273" s="392"/>
      <c r="V273" s="392"/>
      <c r="W273" s="392"/>
      <c r="X273" s="392"/>
      <c r="Y273" s="392"/>
      <c r="Z273" s="392"/>
      <c r="AA273" s="392"/>
      <c r="AB273" s="392"/>
    </row>
    <row r="274" spans="1:28" s="336" customFormat="1" x14ac:dyDescent="0.3">
      <c r="A274" s="386">
        <v>116</v>
      </c>
      <c r="B274" s="471">
        <v>372</v>
      </c>
      <c r="C274" s="471"/>
      <c r="D274" s="471"/>
      <c r="E274" s="471"/>
      <c r="F274" s="471"/>
      <c r="G274" s="471"/>
      <c r="H274" s="471"/>
      <c r="I274" s="471"/>
      <c r="J274" s="388" t="s">
        <v>524</v>
      </c>
      <c r="K274" s="336" t="s">
        <v>51</v>
      </c>
      <c r="L274" s="389">
        <f>SUM('RASHODI ZA VIJEĆE'!E260)</f>
        <v>0</v>
      </c>
      <c r="M274" s="389">
        <f>SUM('RASHODI ZA VIJEĆE'!F260)</f>
        <v>6290</v>
      </c>
      <c r="N274" s="389">
        <f>SUM('RASHODI ZA VIJEĆE'!G260)</f>
        <v>20000</v>
      </c>
      <c r="O274" s="389">
        <f>SUM('RASHODI ZA VIJEĆE'!H260)</f>
        <v>6000</v>
      </c>
      <c r="P274" s="389">
        <f>SUM('RASHODI ZA VIJEĆE'!I260)</f>
        <v>6290</v>
      </c>
      <c r="Q274" s="390">
        <f t="shared" si="56"/>
        <v>0</v>
      </c>
      <c r="R274" s="390">
        <f t="shared" si="57"/>
        <v>1</v>
      </c>
      <c r="S274" s="390">
        <f t="shared" si="58"/>
        <v>1.0483333333333333</v>
      </c>
      <c r="T274" s="391">
        <v>244</v>
      </c>
      <c r="U274" s="392"/>
      <c r="V274" s="392"/>
      <c r="W274" s="392"/>
      <c r="X274" s="392"/>
      <c r="Y274" s="392"/>
      <c r="Z274" s="392"/>
      <c r="AA274" s="392"/>
      <c r="AB274" s="392"/>
    </row>
    <row r="275" spans="1:28" s="336" customFormat="1" x14ac:dyDescent="0.3">
      <c r="A275" s="386">
        <v>117</v>
      </c>
      <c r="B275" s="471">
        <v>372</v>
      </c>
      <c r="C275" s="471"/>
      <c r="D275" s="471"/>
      <c r="E275" s="471"/>
      <c r="F275" s="471"/>
      <c r="G275" s="471"/>
      <c r="H275" s="471"/>
      <c r="I275" s="471"/>
      <c r="J275" s="388" t="s">
        <v>524</v>
      </c>
      <c r="K275" s="336" t="s">
        <v>540</v>
      </c>
      <c r="L275" s="389">
        <f>SUM('RASHODI ZA VIJEĆE'!E245)</f>
        <v>4243</v>
      </c>
      <c r="M275" s="389">
        <f>SUM('RASHODI ZA VIJEĆE'!F245)</f>
        <v>9273</v>
      </c>
      <c r="N275" s="389">
        <f>SUM('RASHODI ZA VIJEĆE'!G245)</f>
        <v>7000</v>
      </c>
      <c r="O275" s="389">
        <f>SUM('RASHODI ZA VIJEĆE'!H245)</f>
        <v>10000</v>
      </c>
      <c r="P275" s="389">
        <f>SUM('RASHODI ZA VIJEĆE'!I245)</f>
        <v>9273</v>
      </c>
      <c r="Q275" s="390">
        <f t="shared" si="56"/>
        <v>2.1854819703040302</v>
      </c>
      <c r="R275" s="390">
        <f t="shared" si="57"/>
        <v>1</v>
      </c>
      <c r="S275" s="390">
        <f t="shared" si="58"/>
        <v>0.92730000000000001</v>
      </c>
      <c r="T275" s="391">
        <v>234</v>
      </c>
      <c r="U275" s="392"/>
      <c r="V275" s="392"/>
      <c r="W275" s="392"/>
      <c r="X275" s="392"/>
      <c r="Y275" s="392"/>
      <c r="Z275" s="392"/>
      <c r="AA275" s="392"/>
      <c r="AB275" s="392"/>
    </row>
    <row r="276" spans="1:28" s="336" customFormat="1" x14ac:dyDescent="0.3">
      <c r="A276" s="386">
        <v>118</v>
      </c>
      <c r="B276" s="471">
        <v>372</v>
      </c>
      <c r="C276" s="471"/>
      <c r="D276" s="471"/>
      <c r="E276" s="471"/>
      <c r="F276" s="471"/>
      <c r="G276" s="471"/>
      <c r="H276" s="471"/>
      <c r="I276" s="471"/>
      <c r="J276" s="388" t="s">
        <v>524</v>
      </c>
      <c r="K276" s="336" t="s">
        <v>458</v>
      </c>
      <c r="L276" s="389">
        <f>SUM('RASHODI ZA VIJEĆE'!E261)</f>
        <v>190.27</v>
      </c>
      <c r="M276" s="389">
        <f>SUM('RASHODI ZA VIJEĆE'!F261)</f>
        <v>434.84</v>
      </c>
      <c r="N276" s="389">
        <f>SUM('RASHODI ZA VIJEĆE'!G261)</f>
        <v>500</v>
      </c>
      <c r="O276" s="389">
        <f>SUM('RASHODI ZA VIJEĆE'!H261)</f>
        <v>500</v>
      </c>
      <c r="P276" s="389">
        <f>SUM('RASHODI ZA VIJEĆE'!I261)</f>
        <v>434.84</v>
      </c>
      <c r="Q276" s="390">
        <f t="shared" si="56"/>
        <v>2.2853839281021702</v>
      </c>
      <c r="R276" s="390">
        <f t="shared" si="57"/>
        <v>1</v>
      </c>
      <c r="S276" s="390">
        <f t="shared" si="58"/>
        <v>0.8696799999999999</v>
      </c>
      <c r="T276" s="391">
        <v>245</v>
      </c>
      <c r="U276" s="392"/>
      <c r="V276" s="392"/>
      <c r="W276" s="392"/>
      <c r="X276" s="392"/>
      <c r="Y276" s="392"/>
      <c r="Z276" s="392"/>
      <c r="AA276" s="392"/>
      <c r="AB276" s="392"/>
    </row>
    <row r="277" spans="1:28" s="336" customFormat="1" x14ac:dyDescent="0.3">
      <c r="A277" s="386">
        <v>119</v>
      </c>
      <c r="B277" s="471">
        <v>372</v>
      </c>
      <c r="C277" s="471"/>
      <c r="D277" s="471"/>
      <c r="E277" s="471"/>
      <c r="F277" s="471"/>
      <c r="G277" s="471"/>
      <c r="H277" s="471"/>
      <c r="I277" s="471"/>
      <c r="J277" s="388" t="s">
        <v>524</v>
      </c>
      <c r="K277" s="336" t="s">
        <v>89</v>
      </c>
      <c r="L277" s="389">
        <f>SUM('RASHODI ZA VIJEĆE'!E262)</f>
        <v>726.4</v>
      </c>
      <c r="M277" s="389">
        <f>SUM('RASHODI ZA VIJEĆE'!F262)</f>
        <v>805.8</v>
      </c>
      <c r="N277" s="389">
        <f>SUM('RASHODI ZA VIJEĆE'!G262)</f>
        <v>2000</v>
      </c>
      <c r="O277" s="389">
        <f>SUM('RASHODI ZA VIJEĆE'!H262)</f>
        <v>2000</v>
      </c>
      <c r="P277" s="389">
        <f>SUM('RASHODI ZA VIJEĆE'!I262)</f>
        <v>805.8</v>
      </c>
      <c r="Q277" s="390">
        <f t="shared" si="56"/>
        <v>1.1093061674008811</v>
      </c>
      <c r="R277" s="390">
        <f t="shared" si="57"/>
        <v>1</v>
      </c>
      <c r="S277" s="390">
        <f t="shared" si="58"/>
        <v>0.40289999999999998</v>
      </c>
      <c r="T277" s="391">
        <v>246</v>
      </c>
      <c r="U277" s="392"/>
      <c r="V277" s="392"/>
      <c r="W277" s="392"/>
      <c r="X277" s="392"/>
      <c r="Y277" s="392"/>
      <c r="Z277" s="392"/>
      <c r="AA277" s="392"/>
      <c r="AB277" s="392"/>
    </row>
    <row r="278" spans="1:28" s="336" customFormat="1" x14ac:dyDescent="0.3">
      <c r="A278" s="386">
        <v>120</v>
      </c>
      <c r="B278" s="471">
        <v>372</v>
      </c>
      <c r="C278" s="471"/>
      <c r="D278" s="471"/>
      <c r="E278" s="471"/>
      <c r="F278" s="471"/>
      <c r="G278" s="471"/>
      <c r="H278" s="471"/>
      <c r="I278" s="471"/>
      <c r="J278" s="388" t="s">
        <v>524</v>
      </c>
      <c r="K278" s="336" t="s">
        <v>543</v>
      </c>
      <c r="L278" s="389">
        <f>SUM('RASHODI ZA VIJEĆE'!E265)</f>
        <v>840</v>
      </c>
      <c r="M278" s="389">
        <f>SUM('RASHODI ZA VIJEĆE'!F265)</f>
        <v>873.18</v>
      </c>
      <c r="N278" s="389">
        <f>SUM('RASHODI ZA VIJEĆE'!G265)</f>
        <v>22500</v>
      </c>
      <c r="O278" s="389">
        <f>SUM('RASHODI ZA VIJEĆE'!H265)</f>
        <v>10000</v>
      </c>
      <c r="P278" s="389">
        <f>SUM('RASHODI ZA VIJEĆE'!I265)</f>
        <v>873.18</v>
      </c>
      <c r="Q278" s="390">
        <f t="shared" si="56"/>
        <v>1.0394999999999999</v>
      </c>
      <c r="R278" s="390">
        <f t="shared" si="57"/>
        <v>1</v>
      </c>
      <c r="S278" s="390">
        <f t="shared" si="58"/>
        <v>8.7317999999999993E-2</v>
      </c>
      <c r="T278" s="391"/>
      <c r="U278" s="392"/>
      <c r="V278" s="392"/>
      <c r="W278" s="392"/>
      <c r="X278" s="392"/>
      <c r="Y278" s="392"/>
      <c r="Z278" s="392"/>
      <c r="AA278" s="392"/>
      <c r="AB278" s="392"/>
    </row>
    <row r="279" spans="1:28" s="336" customFormat="1" x14ac:dyDescent="0.3">
      <c r="A279" s="386">
        <v>121</v>
      </c>
      <c r="B279" s="471">
        <v>372</v>
      </c>
      <c r="C279" s="471"/>
      <c r="D279" s="471"/>
      <c r="E279" s="471"/>
      <c r="F279" s="471"/>
      <c r="G279" s="471"/>
      <c r="H279" s="471"/>
      <c r="I279" s="471"/>
      <c r="J279" s="388" t="s">
        <v>523</v>
      </c>
      <c r="K279" s="336" t="s">
        <v>804</v>
      </c>
      <c r="L279" s="389">
        <f>SUM('RASHODI ZA VIJEĆE'!E264)</f>
        <v>10617.84</v>
      </c>
      <c r="M279" s="389">
        <f>SUM('RASHODI ZA VIJEĆE'!F264)</f>
        <v>23890.14</v>
      </c>
      <c r="N279" s="389">
        <f>SUM('RASHODI ZA VIJEĆE'!G264)</f>
        <v>26500</v>
      </c>
      <c r="O279" s="389">
        <f>SUM('RASHODI ZA VIJEĆE'!H264)</f>
        <v>26500</v>
      </c>
      <c r="P279" s="389">
        <f>SUM('RASHODI ZA VIJEĆE'!I264)</f>
        <v>23890.14</v>
      </c>
      <c r="Q279" s="390">
        <f t="shared" si="56"/>
        <v>2.25</v>
      </c>
      <c r="R279" s="390">
        <f t="shared" si="57"/>
        <v>1</v>
      </c>
      <c r="S279" s="390">
        <f t="shared" si="58"/>
        <v>0.90151471698113206</v>
      </c>
      <c r="T279" s="391"/>
      <c r="U279" s="392"/>
      <c r="V279" s="392"/>
      <c r="W279" s="392"/>
      <c r="X279" s="392"/>
      <c r="Y279" s="392"/>
      <c r="Z279" s="392"/>
      <c r="AA279" s="392"/>
      <c r="AB279" s="392"/>
    </row>
    <row r="280" spans="1:28" s="336" customFormat="1" x14ac:dyDescent="0.3">
      <c r="A280" s="386">
        <v>122</v>
      </c>
      <c r="B280" s="471">
        <v>372</v>
      </c>
      <c r="C280" s="471"/>
      <c r="D280" s="471"/>
      <c r="E280" s="471"/>
      <c r="F280" s="471"/>
      <c r="G280" s="471"/>
      <c r="H280" s="471"/>
      <c r="I280" s="471"/>
      <c r="J280" s="388" t="s">
        <v>806</v>
      </c>
      <c r="K280" s="336" t="s">
        <v>805</v>
      </c>
      <c r="L280" s="389">
        <f>SUM('RASHODI ZA VIJEĆE'!E254)</f>
        <v>0</v>
      </c>
      <c r="M280" s="389">
        <f>SUM('RASHODI ZA VIJEĆE'!F254)</f>
        <v>14706.91</v>
      </c>
      <c r="N280" s="389">
        <f>SUM('RASHODI ZA VIJEĆE'!G254)</f>
        <v>16000</v>
      </c>
      <c r="O280" s="389">
        <f>SUM('RASHODI ZA VIJEĆE'!H254)</f>
        <v>22000</v>
      </c>
      <c r="P280" s="389">
        <f>SUM('RASHODI ZA VIJEĆE'!I254)</f>
        <v>14706.91</v>
      </c>
      <c r="Q280" s="390">
        <f t="shared" si="56"/>
        <v>0</v>
      </c>
      <c r="R280" s="390">
        <f t="shared" si="57"/>
        <v>1</v>
      </c>
      <c r="S280" s="390">
        <f t="shared" si="58"/>
        <v>0.66849590909090906</v>
      </c>
      <c r="T280" s="391"/>
      <c r="U280" s="392"/>
      <c r="V280" s="392"/>
      <c r="W280" s="392"/>
      <c r="X280" s="392"/>
      <c r="Y280" s="392"/>
      <c r="Z280" s="392"/>
      <c r="AA280" s="392"/>
      <c r="AB280" s="392"/>
    </row>
    <row r="281" spans="1:28" s="322" customFormat="1" x14ac:dyDescent="0.3">
      <c r="A281" s="394"/>
      <c r="B281" s="378" t="s">
        <v>868</v>
      </c>
      <c r="C281" s="378"/>
      <c r="D281" s="378"/>
      <c r="E281" s="378"/>
      <c r="F281" s="378"/>
      <c r="G281" s="378"/>
      <c r="H281" s="378"/>
      <c r="I281" s="378"/>
      <c r="J281" s="384"/>
      <c r="L281" s="398"/>
      <c r="M281" s="398"/>
      <c r="N281" s="398"/>
      <c r="O281" s="398"/>
      <c r="P281" s="398"/>
      <c r="Q281" s="399"/>
      <c r="R281" s="399"/>
      <c r="S281" s="399"/>
      <c r="T281" s="396"/>
      <c r="U281" s="357"/>
      <c r="V281" s="357"/>
      <c r="W281" s="357"/>
      <c r="X281" s="357"/>
      <c r="Y281" s="357"/>
      <c r="Z281" s="357"/>
      <c r="AA281" s="357"/>
      <c r="AB281" s="357"/>
    </row>
    <row r="282" spans="1:28" s="273" customFormat="1" x14ac:dyDescent="0.3">
      <c r="A282" s="377"/>
      <c r="B282" s="472">
        <v>3</v>
      </c>
      <c r="C282" s="472"/>
      <c r="D282" s="472"/>
      <c r="E282" s="472"/>
      <c r="F282" s="472"/>
      <c r="G282" s="472"/>
      <c r="H282" s="472"/>
      <c r="I282" s="472"/>
      <c r="J282" s="384"/>
      <c r="K282" s="273" t="s">
        <v>20</v>
      </c>
      <c r="L282" s="379">
        <f>SUM(L283)</f>
        <v>13700</v>
      </c>
      <c r="M282" s="379">
        <f t="shared" ref="M282:P283" si="59">SUM(M283)</f>
        <v>13700</v>
      </c>
      <c r="N282" s="379">
        <f t="shared" si="59"/>
        <v>11000</v>
      </c>
      <c r="O282" s="379">
        <f t="shared" si="59"/>
        <v>16000</v>
      </c>
      <c r="P282" s="379">
        <f t="shared" si="59"/>
        <v>13700</v>
      </c>
      <c r="Q282" s="380">
        <f>IFERROR(SUM(P282/L282),0)</f>
        <v>1</v>
      </c>
      <c r="R282" s="380">
        <f>IFERROR(SUM(P282/M282),0)</f>
        <v>1</v>
      </c>
      <c r="S282" s="380">
        <f>IFERROR(SUM(P282/O282),0)</f>
        <v>0.85624999999999996</v>
      </c>
      <c r="T282" s="381"/>
      <c r="U282" s="383"/>
      <c r="V282" s="383"/>
      <c r="W282" s="383"/>
      <c r="X282" s="383"/>
      <c r="Y282" s="383"/>
      <c r="Z282" s="383"/>
      <c r="AA282" s="383"/>
      <c r="AB282" s="383"/>
    </row>
    <row r="283" spans="1:28" s="273" customFormat="1" x14ac:dyDescent="0.3">
      <c r="A283" s="377"/>
      <c r="B283" s="472">
        <v>38</v>
      </c>
      <c r="C283" s="472"/>
      <c r="D283" s="472"/>
      <c r="E283" s="472"/>
      <c r="F283" s="472"/>
      <c r="G283" s="472"/>
      <c r="H283" s="472"/>
      <c r="I283" s="472"/>
      <c r="J283" s="384"/>
      <c r="K283" s="273" t="s">
        <v>22</v>
      </c>
      <c r="L283" s="379">
        <f>SUM(L284)</f>
        <v>13700</v>
      </c>
      <c r="M283" s="379">
        <f t="shared" si="59"/>
        <v>13700</v>
      </c>
      <c r="N283" s="379">
        <f t="shared" si="59"/>
        <v>11000</v>
      </c>
      <c r="O283" s="379">
        <f t="shared" si="59"/>
        <v>16000</v>
      </c>
      <c r="P283" s="379">
        <f t="shared" si="59"/>
        <v>13700</v>
      </c>
      <c r="Q283" s="380">
        <f>IFERROR(SUM(P283/L283),0)</f>
        <v>1</v>
      </c>
      <c r="R283" s="380">
        <f>IFERROR(SUM(P283/M283),0)</f>
        <v>1</v>
      </c>
      <c r="S283" s="380">
        <f>IFERROR(SUM(P283/O283),0)</f>
        <v>0.85624999999999996</v>
      </c>
      <c r="T283" s="381"/>
      <c r="U283" s="383"/>
      <c r="V283" s="383"/>
      <c r="W283" s="383"/>
      <c r="X283" s="383"/>
      <c r="Y283" s="383"/>
      <c r="Z283" s="383"/>
      <c r="AA283" s="383"/>
      <c r="AB283" s="383"/>
    </row>
    <row r="284" spans="1:28" s="336" customFormat="1" x14ac:dyDescent="0.3">
      <c r="A284" s="386">
        <v>123</v>
      </c>
      <c r="B284" s="471">
        <v>381</v>
      </c>
      <c r="C284" s="471"/>
      <c r="D284" s="471"/>
      <c r="E284" s="471"/>
      <c r="F284" s="471"/>
      <c r="G284" s="471"/>
      <c r="H284" s="471"/>
      <c r="I284" s="387"/>
      <c r="J284" s="388" t="s">
        <v>806</v>
      </c>
      <c r="K284" s="336" t="s">
        <v>868</v>
      </c>
      <c r="L284" s="389">
        <f>SUM('RASHODI ZA VIJEĆE'!E310)</f>
        <v>13700</v>
      </c>
      <c r="M284" s="389">
        <f>SUM('RASHODI ZA VIJEĆE'!F310)</f>
        <v>13700</v>
      </c>
      <c r="N284" s="389">
        <f>SUM('RASHODI ZA VIJEĆE'!G310)</f>
        <v>11000</v>
      </c>
      <c r="O284" s="389">
        <f>SUM('RASHODI ZA VIJEĆE'!H310)</f>
        <v>16000</v>
      </c>
      <c r="P284" s="389">
        <f>SUM('RASHODI ZA VIJEĆE'!I310)</f>
        <v>13700</v>
      </c>
      <c r="Q284" s="390">
        <f>IFERROR(SUM(P284/L284),0)</f>
        <v>1</v>
      </c>
      <c r="R284" s="390">
        <f>IFERROR(SUM(P284/M284),0)</f>
        <v>1</v>
      </c>
      <c r="S284" s="390">
        <f>IFERROR(SUM(P284/O284),0)</f>
        <v>0.85624999999999996</v>
      </c>
      <c r="T284" s="391"/>
      <c r="U284" s="392"/>
      <c r="V284" s="392"/>
      <c r="W284" s="392"/>
      <c r="X284" s="392"/>
      <c r="Y284" s="392"/>
      <c r="Z284" s="392"/>
      <c r="AA284" s="392"/>
      <c r="AB284" s="392"/>
    </row>
    <row r="285" spans="1:28" s="336" customFormat="1" x14ac:dyDescent="0.3">
      <c r="A285" s="386"/>
      <c r="B285" s="427"/>
      <c r="C285" s="427"/>
      <c r="D285" s="427"/>
      <c r="E285" s="427"/>
      <c r="F285" s="427"/>
      <c r="G285" s="427"/>
      <c r="H285" s="427"/>
      <c r="I285" s="387"/>
      <c r="J285" s="388"/>
      <c r="L285" s="389"/>
      <c r="M285" s="389"/>
      <c r="N285" s="389"/>
      <c r="O285" s="389"/>
      <c r="P285" s="389"/>
      <c r="Q285" s="390"/>
      <c r="R285" s="390"/>
      <c r="S285" s="390"/>
      <c r="T285" s="391"/>
      <c r="U285" s="392"/>
      <c r="V285" s="392"/>
      <c r="W285" s="392"/>
      <c r="X285" s="392"/>
      <c r="Y285" s="392"/>
      <c r="Z285" s="392"/>
      <c r="AA285" s="392"/>
      <c r="AB285" s="392"/>
    </row>
    <row r="286" spans="1:28" s="374" customFormat="1" ht="21" thickBot="1" x14ac:dyDescent="0.35">
      <c r="A286" s="400"/>
      <c r="B286" s="376">
        <v>1</v>
      </c>
      <c r="C286" s="376"/>
      <c r="D286" s="376"/>
      <c r="E286" s="376"/>
      <c r="F286" s="376"/>
      <c r="G286" s="376"/>
      <c r="H286" s="376"/>
      <c r="I286" s="355" t="s">
        <v>1106</v>
      </c>
      <c r="J286" s="401"/>
      <c r="K286" s="355"/>
      <c r="L286" s="403">
        <f>SUM(L288+L298)</f>
        <v>24478.46</v>
      </c>
      <c r="M286" s="403">
        <f>SUM(M288+M298)</f>
        <v>41237.07</v>
      </c>
      <c r="N286" s="403">
        <f>SUM(N288+N298)</f>
        <v>50000</v>
      </c>
      <c r="O286" s="403">
        <f>SUM(O288+O298)</f>
        <v>41800</v>
      </c>
      <c r="P286" s="403">
        <f>SUM(P288+P298)</f>
        <v>41237.07</v>
      </c>
      <c r="Q286" s="404">
        <f>IFERROR(SUM(P286/L286),0)</f>
        <v>1.6846268106735474</v>
      </c>
      <c r="R286" s="404">
        <f>IFERROR(SUM(P286/M286),0)</f>
        <v>1</v>
      </c>
      <c r="S286" s="404">
        <f>IFERROR(SUM(P286/O286),0)</f>
        <v>0.98653277511961723</v>
      </c>
      <c r="T286" s="375"/>
      <c r="U286" s="373"/>
      <c r="V286" s="373"/>
      <c r="W286" s="373"/>
      <c r="X286" s="373"/>
      <c r="Y286" s="373"/>
      <c r="Z286" s="373"/>
      <c r="AA286" s="373"/>
      <c r="AB286" s="373"/>
    </row>
    <row r="287" spans="1:28" s="322" customFormat="1" ht="21" thickTop="1" x14ac:dyDescent="0.3">
      <c r="A287" s="394"/>
      <c r="B287" s="472" t="s">
        <v>904</v>
      </c>
      <c r="C287" s="472"/>
      <c r="D287" s="472"/>
      <c r="E287" s="472"/>
      <c r="F287" s="472"/>
      <c r="G287" s="472"/>
      <c r="H287" s="472"/>
      <c r="I287" s="472"/>
      <c r="J287" s="472"/>
      <c r="K287" s="472"/>
      <c r="L287" s="379"/>
      <c r="M287" s="379"/>
      <c r="N287" s="379"/>
      <c r="O287" s="379"/>
      <c r="P287" s="379"/>
      <c r="Q287" s="380"/>
      <c r="R287" s="380"/>
      <c r="S287" s="380"/>
      <c r="T287" s="381"/>
      <c r="U287" s="357"/>
      <c r="V287" s="357"/>
      <c r="W287" s="357"/>
      <c r="X287" s="357"/>
      <c r="Y287" s="357"/>
      <c r="Z287" s="357"/>
      <c r="AA287" s="357"/>
      <c r="AB287" s="357"/>
    </row>
    <row r="288" spans="1:28" s="322" customFormat="1" x14ac:dyDescent="0.3">
      <c r="A288" s="394"/>
      <c r="B288" s="472">
        <v>3</v>
      </c>
      <c r="C288" s="472"/>
      <c r="D288" s="472"/>
      <c r="E288" s="472"/>
      <c r="F288" s="472"/>
      <c r="G288" s="472"/>
      <c r="H288" s="472"/>
      <c r="I288" s="472"/>
      <c r="J288" s="378"/>
      <c r="K288" s="273" t="s">
        <v>20</v>
      </c>
      <c r="L288" s="379">
        <f>SUM(L289+L294)</f>
        <v>590.46</v>
      </c>
      <c r="M288" s="379">
        <f>SUM(M289+M294)</f>
        <v>1565.46</v>
      </c>
      <c r="N288" s="379">
        <f>SUM(N289+N294)</f>
        <v>6500</v>
      </c>
      <c r="O288" s="379">
        <f>SUM(O289+O294)</f>
        <v>2000</v>
      </c>
      <c r="P288" s="379">
        <f>SUM(P289+P294)</f>
        <v>1565.46</v>
      </c>
      <c r="Q288" s="380">
        <f t="shared" ref="Q288:Q296" si="60">IFERROR(SUM(P288/L288),0)</f>
        <v>2.6512549537648611</v>
      </c>
      <c r="R288" s="380">
        <f t="shared" ref="R288:R296" si="61">IFERROR(SUM(P288/M288),0)</f>
        <v>1</v>
      </c>
      <c r="S288" s="380">
        <f t="shared" ref="S288:S296" si="62">IFERROR(SUM(P288/O288),0)</f>
        <v>0.78273000000000004</v>
      </c>
      <c r="T288" s="381"/>
      <c r="U288" s="357"/>
      <c r="V288" s="357"/>
      <c r="W288" s="357"/>
      <c r="X288" s="357"/>
      <c r="Y288" s="357"/>
      <c r="Z288" s="357"/>
      <c r="AA288" s="357"/>
      <c r="AB288" s="357"/>
    </row>
    <row r="289" spans="1:28" s="322" customFormat="1" x14ac:dyDescent="0.3">
      <c r="A289" s="394"/>
      <c r="B289" s="472">
        <v>32</v>
      </c>
      <c r="C289" s="472"/>
      <c r="D289" s="472"/>
      <c r="E289" s="472"/>
      <c r="F289" s="472"/>
      <c r="G289" s="472"/>
      <c r="H289" s="472"/>
      <c r="I289" s="472"/>
      <c r="J289" s="378"/>
      <c r="K289" s="273" t="s">
        <v>3</v>
      </c>
      <c r="L289" s="379">
        <f>SUM(L290:L293)</f>
        <v>590.46</v>
      </c>
      <c r="M289" s="379">
        <f>SUM(M290:M293)</f>
        <v>1565.46</v>
      </c>
      <c r="N289" s="379">
        <f>SUM(N290:N293)</f>
        <v>5000</v>
      </c>
      <c r="O289" s="379">
        <f>SUM(O290:O293)</f>
        <v>2000</v>
      </c>
      <c r="P289" s="379">
        <f>SUM(P290:P293)</f>
        <v>1565.46</v>
      </c>
      <c r="Q289" s="380">
        <f t="shared" si="60"/>
        <v>2.6512549537648611</v>
      </c>
      <c r="R289" s="380">
        <f t="shared" si="61"/>
        <v>1</v>
      </c>
      <c r="S289" s="380">
        <f t="shared" si="62"/>
        <v>0.78273000000000004</v>
      </c>
      <c r="T289" s="381"/>
      <c r="U289" s="357"/>
      <c r="V289" s="357"/>
      <c r="W289" s="357"/>
      <c r="X289" s="357"/>
      <c r="Y289" s="357"/>
      <c r="Z289" s="357"/>
      <c r="AA289" s="357"/>
      <c r="AB289" s="357"/>
    </row>
    <row r="290" spans="1:28" s="322" customFormat="1" x14ac:dyDescent="0.3">
      <c r="A290" s="386"/>
      <c r="B290" s="471">
        <v>321</v>
      </c>
      <c r="C290" s="471"/>
      <c r="D290" s="471"/>
      <c r="E290" s="471"/>
      <c r="F290" s="471"/>
      <c r="G290" s="471"/>
      <c r="H290" s="471"/>
      <c r="I290" s="471"/>
      <c r="J290" s="388" t="s">
        <v>905</v>
      </c>
      <c r="K290" s="336" t="s">
        <v>174</v>
      </c>
      <c r="L290" s="389">
        <f>SUM('RASHODI ZA VIJEĆE'!E58)</f>
        <v>0</v>
      </c>
      <c r="M290" s="389">
        <f>SUM('RASHODI ZA VIJEĆE'!F58)</f>
        <v>0</v>
      </c>
      <c r="N290" s="389">
        <f>SUM('RASHODI ZA VIJEĆE'!G58)</f>
        <v>1000</v>
      </c>
      <c r="O290" s="389">
        <f>SUM('RASHODI ZA VIJEĆE'!H58)</f>
        <v>0</v>
      </c>
      <c r="P290" s="389">
        <f>SUM('RASHODI ZA VIJEĆE'!I58)</f>
        <v>0</v>
      </c>
      <c r="Q290" s="390">
        <f t="shared" si="60"/>
        <v>0</v>
      </c>
      <c r="R290" s="390">
        <f t="shared" si="61"/>
        <v>0</v>
      </c>
      <c r="S290" s="390">
        <f t="shared" si="62"/>
        <v>0</v>
      </c>
      <c r="T290" s="381"/>
      <c r="U290" s="357"/>
      <c r="V290" s="357"/>
      <c r="W290" s="357"/>
      <c r="X290" s="357"/>
      <c r="Y290" s="357"/>
      <c r="Z290" s="357"/>
      <c r="AA290" s="357"/>
      <c r="AB290" s="357"/>
    </row>
    <row r="291" spans="1:28" s="336" customFormat="1" x14ac:dyDescent="0.3">
      <c r="A291" s="386">
        <v>124</v>
      </c>
      <c r="B291" s="473">
        <v>329</v>
      </c>
      <c r="C291" s="473"/>
      <c r="D291" s="473"/>
      <c r="E291" s="473"/>
      <c r="F291" s="473"/>
      <c r="G291" s="473"/>
      <c r="H291" s="473"/>
      <c r="I291" s="473"/>
      <c r="J291" s="428" t="s">
        <v>905</v>
      </c>
      <c r="K291" s="89" t="s">
        <v>63</v>
      </c>
      <c r="L291" s="389">
        <f>SUM('RASHODI ZA VIJEĆE'!E191)</f>
        <v>0</v>
      </c>
      <c r="M291" s="389">
        <f>SUM('RASHODI ZA VIJEĆE'!F191)</f>
        <v>0</v>
      </c>
      <c r="N291" s="389">
        <f>SUM('RASHODI ZA VIJEĆE'!G191)</f>
        <v>500</v>
      </c>
      <c r="O291" s="389">
        <f>SUM('RASHODI ZA VIJEĆE'!H191)</f>
        <v>0</v>
      </c>
      <c r="P291" s="389">
        <f>SUM('RASHODI ZA VIJEĆE'!I191)</f>
        <v>0</v>
      </c>
      <c r="Q291" s="390">
        <f t="shared" si="60"/>
        <v>0</v>
      </c>
      <c r="R291" s="390">
        <f t="shared" si="61"/>
        <v>0</v>
      </c>
      <c r="S291" s="390">
        <f t="shared" si="62"/>
        <v>0</v>
      </c>
      <c r="T291" s="406"/>
      <c r="U291" s="392"/>
      <c r="V291" s="392"/>
      <c r="W291" s="392"/>
      <c r="X291" s="392"/>
      <c r="Y291" s="392"/>
      <c r="Z291" s="392"/>
      <c r="AA291" s="392"/>
      <c r="AB291" s="392"/>
    </row>
    <row r="292" spans="1:28" s="336" customFormat="1" x14ac:dyDescent="0.3">
      <c r="A292" s="386">
        <v>125</v>
      </c>
      <c r="B292" s="473">
        <v>323</v>
      </c>
      <c r="C292" s="473"/>
      <c r="D292" s="473"/>
      <c r="E292" s="473"/>
      <c r="F292" s="473"/>
      <c r="G292" s="473"/>
      <c r="H292" s="473"/>
      <c r="I292" s="473"/>
      <c r="J292" s="428" t="s">
        <v>905</v>
      </c>
      <c r="K292" s="89" t="s">
        <v>906</v>
      </c>
      <c r="L292" s="389">
        <f>SUM('RASHODI ZA VIJEĆE'!E173)</f>
        <v>162.5</v>
      </c>
      <c r="M292" s="389">
        <f>SUM('RASHODI ZA VIJEĆE'!F173)</f>
        <v>1137.5</v>
      </c>
      <c r="N292" s="389">
        <f>SUM('RASHODI ZA VIJEĆE'!G173)</f>
        <v>1000</v>
      </c>
      <c r="O292" s="389">
        <f>SUM('RASHODI ZA VIJEĆE'!H173)</f>
        <v>1000</v>
      </c>
      <c r="P292" s="389">
        <f>SUM('RASHODI ZA VIJEĆE'!I173)</f>
        <v>1137.5</v>
      </c>
      <c r="Q292" s="390">
        <f t="shared" si="60"/>
        <v>7</v>
      </c>
      <c r="R292" s="390">
        <f t="shared" si="61"/>
        <v>1</v>
      </c>
      <c r="S292" s="390">
        <f t="shared" si="62"/>
        <v>1.1375</v>
      </c>
      <c r="T292" s="406"/>
      <c r="U292" s="392"/>
      <c r="V292" s="392"/>
      <c r="W292" s="392"/>
      <c r="X292" s="392"/>
      <c r="Y292" s="392"/>
      <c r="Z292" s="392"/>
      <c r="AA292" s="392"/>
      <c r="AB292" s="392"/>
    </row>
    <row r="293" spans="1:28" s="336" customFormat="1" x14ac:dyDescent="0.3">
      <c r="A293" s="386">
        <v>126</v>
      </c>
      <c r="B293" s="473">
        <v>323</v>
      </c>
      <c r="C293" s="473"/>
      <c r="D293" s="473"/>
      <c r="E293" s="473"/>
      <c r="F293" s="473"/>
      <c r="G293" s="473"/>
      <c r="H293" s="473"/>
      <c r="I293" s="473"/>
      <c r="J293" s="428" t="s">
        <v>905</v>
      </c>
      <c r="K293" s="89" t="s">
        <v>907</v>
      </c>
      <c r="L293" s="389">
        <f>SUM('RASHODI ZA VIJEĆE'!E154)</f>
        <v>427.96</v>
      </c>
      <c r="M293" s="389">
        <f>SUM('RASHODI ZA VIJEĆE'!F154)</f>
        <v>427.96</v>
      </c>
      <c r="N293" s="389">
        <f>SUM('RASHODI ZA VIJEĆE'!G154)</f>
        <v>2500</v>
      </c>
      <c r="O293" s="389">
        <f>SUM('RASHODI ZA VIJEĆE'!H154)</f>
        <v>1000</v>
      </c>
      <c r="P293" s="389">
        <f>SUM('RASHODI ZA VIJEĆE'!I154)</f>
        <v>427.96</v>
      </c>
      <c r="Q293" s="390">
        <f t="shared" si="60"/>
        <v>1</v>
      </c>
      <c r="R293" s="390">
        <f t="shared" si="61"/>
        <v>1</v>
      </c>
      <c r="S293" s="390">
        <f t="shared" si="62"/>
        <v>0.42796000000000001</v>
      </c>
      <c r="T293" s="406"/>
      <c r="U293" s="392"/>
      <c r="V293" s="392"/>
      <c r="W293" s="392"/>
      <c r="X293" s="392"/>
      <c r="Y293" s="392"/>
      <c r="Z293" s="392"/>
      <c r="AA293" s="392"/>
      <c r="AB293" s="392"/>
    </row>
    <row r="294" spans="1:28" s="273" customFormat="1" x14ac:dyDescent="0.3">
      <c r="A294" s="377"/>
      <c r="B294" s="472">
        <v>4</v>
      </c>
      <c r="C294" s="472"/>
      <c r="D294" s="472"/>
      <c r="E294" s="472"/>
      <c r="F294" s="472"/>
      <c r="G294" s="472"/>
      <c r="H294" s="472"/>
      <c r="I294" s="472"/>
      <c r="J294" s="384"/>
      <c r="K294" s="273" t="s">
        <v>11</v>
      </c>
      <c r="L294" s="379">
        <f>SUM(L295)</f>
        <v>0</v>
      </c>
      <c r="M294" s="379">
        <f t="shared" ref="M294:P295" si="63">SUM(M295)</f>
        <v>0</v>
      </c>
      <c r="N294" s="379">
        <f t="shared" si="63"/>
        <v>1500</v>
      </c>
      <c r="O294" s="379">
        <f t="shared" si="63"/>
        <v>0</v>
      </c>
      <c r="P294" s="379">
        <f t="shared" si="63"/>
        <v>0</v>
      </c>
      <c r="Q294" s="380">
        <f t="shared" si="60"/>
        <v>0</v>
      </c>
      <c r="R294" s="380">
        <f t="shared" si="61"/>
        <v>0</v>
      </c>
      <c r="S294" s="380">
        <f t="shared" si="62"/>
        <v>0</v>
      </c>
      <c r="T294" s="381"/>
      <c r="U294" s="383"/>
      <c r="V294" s="383"/>
      <c r="W294" s="383"/>
      <c r="X294" s="383"/>
      <c r="Y294" s="383"/>
      <c r="Z294" s="383"/>
      <c r="AA294" s="383"/>
      <c r="AB294" s="383"/>
    </row>
    <row r="295" spans="1:28" s="273" customFormat="1" x14ac:dyDescent="0.3">
      <c r="A295" s="377"/>
      <c r="B295" s="472">
        <v>42</v>
      </c>
      <c r="C295" s="472"/>
      <c r="D295" s="472"/>
      <c r="E295" s="472"/>
      <c r="F295" s="472"/>
      <c r="G295" s="472"/>
      <c r="H295" s="472"/>
      <c r="I295" s="472"/>
      <c r="J295" s="384"/>
      <c r="K295" s="273" t="s">
        <v>23</v>
      </c>
      <c r="L295" s="379">
        <f>SUM(L296)</f>
        <v>0</v>
      </c>
      <c r="M295" s="379">
        <f t="shared" si="63"/>
        <v>0</v>
      </c>
      <c r="N295" s="379">
        <f t="shared" si="63"/>
        <v>1500</v>
      </c>
      <c r="O295" s="379">
        <f t="shared" si="63"/>
        <v>0</v>
      </c>
      <c r="P295" s="379">
        <f t="shared" si="63"/>
        <v>0</v>
      </c>
      <c r="Q295" s="380">
        <f t="shared" si="60"/>
        <v>0</v>
      </c>
      <c r="R295" s="380">
        <f t="shared" si="61"/>
        <v>0</v>
      </c>
      <c r="S295" s="380">
        <f t="shared" si="62"/>
        <v>0</v>
      </c>
      <c r="T295" s="381"/>
      <c r="U295" s="383"/>
      <c r="V295" s="383"/>
      <c r="W295" s="383"/>
      <c r="X295" s="383"/>
      <c r="Y295" s="383"/>
      <c r="Z295" s="383"/>
      <c r="AA295" s="383"/>
      <c r="AB295" s="383"/>
    </row>
    <row r="296" spans="1:28" s="336" customFormat="1" x14ac:dyDescent="0.3">
      <c r="A296" s="386"/>
      <c r="B296" s="471">
        <v>422</v>
      </c>
      <c r="C296" s="471"/>
      <c r="D296" s="471"/>
      <c r="E296" s="471"/>
      <c r="F296" s="471"/>
      <c r="G296" s="471"/>
      <c r="H296" s="471"/>
      <c r="I296" s="471"/>
      <c r="J296" s="388" t="s">
        <v>905</v>
      </c>
      <c r="K296" s="336" t="s">
        <v>371</v>
      </c>
      <c r="L296" s="389">
        <f>SUM('RASHODI ZA VIJEĆE'!E379)</f>
        <v>0</v>
      </c>
      <c r="M296" s="389">
        <f>SUM('RASHODI ZA VIJEĆE'!F379)</f>
        <v>0</v>
      </c>
      <c r="N296" s="389">
        <f>SUM('RASHODI ZA VIJEĆE'!G379)</f>
        <v>1500</v>
      </c>
      <c r="O296" s="389">
        <f>SUM('RASHODI ZA VIJEĆE'!H379)</f>
        <v>0</v>
      </c>
      <c r="P296" s="389">
        <f>SUM('RASHODI ZA VIJEĆE'!I379)</f>
        <v>0</v>
      </c>
      <c r="Q296" s="390">
        <f t="shared" si="60"/>
        <v>0</v>
      </c>
      <c r="R296" s="390">
        <f t="shared" si="61"/>
        <v>0</v>
      </c>
      <c r="S296" s="390">
        <f t="shared" si="62"/>
        <v>0</v>
      </c>
      <c r="T296" s="406"/>
      <c r="U296" s="392"/>
      <c r="V296" s="392"/>
      <c r="W296" s="392"/>
      <c r="X296" s="392"/>
      <c r="Y296" s="392"/>
      <c r="Z296" s="392"/>
      <c r="AA296" s="392"/>
      <c r="AB296" s="392"/>
    </row>
    <row r="297" spans="1:28" s="322" customFormat="1" x14ac:dyDescent="0.3">
      <c r="A297" s="394"/>
      <c r="B297" s="472" t="s">
        <v>10</v>
      </c>
      <c r="C297" s="472"/>
      <c r="D297" s="472"/>
      <c r="E297" s="472"/>
      <c r="F297" s="472"/>
      <c r="G297" s="472"/>
      <c r="H297" s="472"/>
      <c r="I297" s="472"/>
      <c r="J297" s="472"/>
      <c r="K297" s="472"/>
      <c r="L297" s="379"/>
      <c r="M297" s="379"/>
      <c r="N297" s="379"/>
      <c r="O297" s="379"/>
      <c r="P297" s="379"/>
      <c r="Q297" s="399"/>
      <c r="R297" s="399"/>
      <c r="S297" s="399"/>
      <c r="T297" s="381"/>
      <c r="U297" s="357"/>
      <c r="V297" s="357"/>
      <c r="W297" s="357"/>
      <c r="X297" s="357"/>
      <c r="Y297" s="357"/>
      <c r="Z297" s="357"/>
      <c r="AA297" s="357"/>
      <c r="AB297" s="357"/>
    </row>
    <row r="298" spans="1:28" s="322" customFormat="1" x14ac:dyDescent="0.3">
      <c r="A298" s="394"/>
      <c r="B298" s="472">
        <v>3</v>
      </c>
      <c r="C298" s="472"/>
      <c r="D298" s="472"/>
      <c r="E298" s="472"/>
      <c r="F298" s="472"/>
      <c r="G298" s="472"/>
      <c r="H298" s="472"/>
      <c r="I298" s="472"/>
      <c r="J298" s="395"/>
      <c r="K298" s="273" t="s">
        <v>20</v>
      </c>
      <c r="L298" s="379">
        <f>SUM(L299+L301)</f>
        <v>23888</v>
      </c>
      <c r="M298" s="379">
        <f>SUM(M299+M301)</f>
        <v>39671.61</v>
      </c>
      <c r="N298" s="379">
        <f>SUM(N299+N301)</f>
        <v>43500</v>
      </c>
      <c r="O298" s="379">
        <f>SUM(O299+O301)</f>
        <v>39800</v>
      </c>
      <c r="P298" s="379">
        <f>SUM(P299+P301)</f>
        <v>39671.61</v>
      </c>
      <c r="Q298" s="380">
        <f t="shared" ref="Q298:Q304" si="64">IFERROR(SUM(P298/L298),0)</f>
        <v>1.6607338412592096</v>
      </c>
      <c r="R298" s="380">
        <f t="shared" ref="R298:R304" si="65">IFERROR(SUM(P298/M298),0)</f>
        <v>1</v>
      </c>
      <c r="S298" s="380">
        <f t="shared" ref="S298:S304" si="66">IFERROR(SUM(P298/O298),0)</f>
        <v>0.99677412060301507</v>
      </c>
      <c r="T298" s="381"/>
      <c r="U298" s="357"/>
      <c r="V298" s="357"/>
      <c r="W298" s="357"/>
      <c r="X298" s="357"/>
      <c r="Y298" s="357"/>
      <c r="Z298" s="357"/>
      <c r="AA298" s="357"/>
      <c r="AB298" s="357"/>
    </row>
    <row r="299" spans="1:28" s="322" customFormat="1" x14ac:dyDescent="0.3">
      <c r="A299" s="394"/>
      <c r="B299" s="472">
        <v>32</v>
      </c>
      <c r="C299" s="472"/>
      <c r="D299" s="472"/>
      <c r="E299" s="472"/>
      <c r="F299" s="472"/>
      <c r="G299" s="472"/>
      <c r="H299" s="472"/>
      <c r="I299" s="472"/>
      <c r="J299" s="378"/>
      <c r="K299" s="273" t="s">
        <v>3</v>
      </c>
      <c r="L299" s="379">
        <f>SUM(L300)</f>
        <v>0</v>
      </c>
      <c r="M299" s="379">
        <f>SUM(M300)</f>
        <v>0</v>
      </c>
      <c r="N299" s="379">
        <f>SUM(N300)</f>
        <v>8000</v>
      </c>
      <c r="O299" s="379">
        <f>SUM(O300)</f>
        <v>0</v>
      </c>
      <c r="P299" s="379">
        <f>SUM(P300)</f>
        <v>0</v>
      </c>
      <c r="Q299" s="380">
        <f t="shared" si="64"/>
        <v>0</v>
      </c>
      <c r="R299" s="380">
        <f t="shared" si="65"/>
        <v>0</v>
      </c>
      <c r="S299" s="380">
        <f t="shared" si="66"/>
        <v>0</v>
      </c>
      <c r="T299" s="381"/>
      <c r="U299" s="357"/>
      <c r="V299" s="357"/>
      <c r="W299" s="357"/>
      <c r="X299" s="357"/>
      <c r="Y299" s="357"/>
      <c r="Z299" s="357"/>
      <c r="AA299" s="357"/>
      <c r="AB299" s="357"/>
    </row>
    <row r="300" spans="1:28" s="336" customFormat="1" x14ac:dyDescent="0.3">
      <c r="A300" s="386">
        <v>127</v>
      </c>
      <c r="B300" s="473">
        <v>321</v>
      </c>
      <c r="C300" s="473"/>
      <c r="D300" s="473"/>
      <c r="E300" s="473"/>
      <c r="F300" s="473"/>
      <c r="G300" s="473"/>
      <c r="H300" s="473"/>
      <c r="I300" s="473"/>
      <c r="J300" s="428" t="s">
        <v>905</v>
      </c>
      <c r="K300" s="89" t="s">
        <v>947</v>
      </c>
      <c r="L300" s="389">
        <f>SUM('RASHODI ZA VIJEĆE'!E111)</f>
        <v>0</v>
      </c>
      <c r="M300" s="389">
        <f>SUM('RASHODI ZA VIJEĆE'!F111)</f>
        <v>0</v>
      </c>
      <c r="N300" s="389">
        <f>SUM('RASHODI ZA VIJEĆE'!G111)</f>
        <v>8000</v>
      </c>
      <c r="O300" s="389">
        <f>SUM('RASHODI ZA VIJEĆE'!H111)</f>
        <v>0</v>
      </c>
      <c r="P300" s="389">
        <f>SUM('RASHODI ZA VIJEĆE'!I111)</f>
        <v>0</v>
      </c>
      <c r="Q300" s="390">
        <f t="shared" si="64"/>
        <v>0</v>
      </c>
      <c r="R300" s="390">
        <f t="shared" si="65"/>
        <v>0</v>
      </c>
      <c r="S300" s="390">
        <f t="shared" si="66"/>
        <v>0</v>
      </c>
      <c r="T300" s="406"/>
      <c r="U300" s="392"/>
      <c r="V300" s="392"/>
      <c r="W300" s="392"/>
      <c r="X300" s="392"/>
      <c r="Y300" s="392"/>
      <c r="Z300" s="392"/>
      <c r="AA300" s="392"/>
      <c r="AB300" s="392"/>
    </row>
    <row r="301" spans="1:28" s="322" customFormat="1" x14ac:dyDescent="0.3">
      <c r="A301" s="394"/>
      <c r="B301" s="472">
        <v>38</v>
      </c>
      <c r="C301" s="472"/>
      <c r="D301" s="472"/>
      <c r="E301" s="472"/>
      <c r="F301" s="472"/>
      <c r="G301" s="472"/>
      <c r="H301" s="472"/>
      <c r="I301" s="472"/>
      <c r="J301" s="395"/>
      <c r="K301" s="273" t="s">
        <v>22</v>
      </c>
      <c r="L301" s="379">
        <f>SUM(L302:L304)</f>
        <v>23888</v>
      </c>
      <c r="M301" s="379">
        <f>SUM(M302:M304)</f>
        <v>39671.61</v>
      </c>
      <c r="N301" s="379">
        <f>SUM(N302:N304)</f>
        <v>35500</v>
      </c>
      <c r="O301" s="379">
        <f>SUM(O302:O304)</f>
        <v>39800</v>
      </c>
      <c r="P301" s="379">
        <f>SUM(P302:P304)</f>
        <v>39671.61</v>
      </c>
      <c r="Q301" s="380">
        <f t="shared" si="64"/>
        <v>1.6607338412592096</v>
      </c>
      <c r="R301" s="380">
        <f t="shared" si="65"/>
        <v>1</v>
      </c>
      <c r="S301" s="380">
        <f t="shared" si="66"/>
        <v>0.99677412060301507</v>
      </c>
      <c r="T301" s="381"/>
      <c r="U301" s="357"/>
      <c r="V301" s="357"/>
      <c r="W301" s="357"/>
      <c r="X301" s="357"/>
      <c r="Y301" s="357"/>
      <c r="Z301" s="357"/>
      <c r="AA301" s="357"/>
      <c r="AB301" s="357"/>
    </row>
    <row r="302" spans="1:28" s="336" customFormat="1" x14ac:dyDescent="0.3">
      <c r="A302" s="386">
        <v>128</v>
      </c>
      <c r="B302" s="471">
        <v>381</v>
      </c>
      <c r="C302" s="471"/>
      <c r="D302" s="471"/>
      <c r="E302" s="471"/>
      <c r="F302" s="471"/>
      <c r="G302" s="471"/>
      <c r="H302" s="471"/>
      <c r="I302" s="471"/>
      <c r="J302" s="388" t="s">
        <v>525</v>
      </c>
      <c r="K302" s="336" t="s">
        <v>49</v>
      </c>
      <c r="L302" s="389">
        <f>SUM('RASHODI ZA VIJEĆE'!E317)</f>
        <v>3550</v>
      </c>
      <c r="M302" s="389">
        <f>SUM('RASHODI ZA VIJEĆE'!F317)</f>
        <v>7000</v>
      </c>
      <c r="N302" s="389">
        <f>SUM('RASHODI ZA VIJEĆE'!G317)</f>
        <v>7000</v>
      </c>
      <c r="O302" s="389">
        <f>SUM('RASHODI ZA VIJEĆE'!H317)</f>
        <v>7000</v>
      </c>
      <c r="P302" s="389">
        <f>SUM('RASHODI ZA VIJEĆE'!I317)</f>
        <v>7000</v>
      </c>
      <c r="Q302" s="390">
        <f t="shared" si="64"/>
        <v>1.971830985915493</v>
      </c>
      <c r="R302" s="390">
        <f t="shared" si="65"/>
        <v>1</v>
      </c>
      <c r="S302" s="390">
        <f t="shared" si="66"/>
        <v>1</v>
      </c>
      <c r="T302" s="391">
        <v>286</v>
      </c>
      <c r="U302" s="392"/>
      <c r="V302" s="392"/>
      <c r="W302" s="392"/>
      <c r="X302" s="392"/>
      <c r="Y302" s="392"/>
      <c r="Z302" s="392"/>
      <c r="AA302" s="392"/>
      <c r="AB302" s="392"/>
    </row>
    <row r="303" spans="1:28" s="336" customFormat="1" x14ac:dyDescent="0.3">
      <c r="A303" s="386">
        <v>129</v>
      </c>
      <c r="B303" s="471">
        <v>381</v>
      </c>
      <c r="C303" s="471"/>
      <c r="D303" s="471"/>
      <c r="E303" s="471"/>
      <c r="F303" s="471"/>
      <c r="G303" s="471"/>
      <c r="H303" s="471"/>
      <c r="I303" s="471"/>
      <c r="J303" s="388" t="s">
        <v>525</v>
      </c>
      <c r="K303" s="336" t="s">
        <v>449</v>
      </c>
      <c r="L303" s="389">
        <f>SUM('RASHODI ZA VIJEĆE'!E318)</f>
        <v>0</v>
      </c>
      <c r="M303" s="389">
        <f>SUM('RASHODI ZA VIJEĆE'!F318)</f>
        <v>663.61</v>
      </c>
      <c r="N303" s="389">
        <f>SUM('RASHODI ZA VIJEĆE'!G318)</f>
        <v>500</v>
      </c>
      <c r="O303" s="389">
        <f>SUM('RASHODI ZA VIJEĆE'!H318)</f>
        <v>700</v>
      </c>
      <c r="P303" s="389">
        <f>SUM('RASHODI ZA VIJEĆE'!I318)</f>
        <v>663.61</v>
      </c>
      <c r="Q303" s="390">
        <f t="shared" si="64"/>
        <v>0</v>
      </c>
      <c r="R303" s="390">
        <f t="shared" si="65"/>
        <v>1</v>
      </c>
      <c r="S303" s="390">
        <f t="shared" si="66"/>
        <v>0.9480142857142857</v>
      </c>
      <c r="T303" s="391">
        <v>287</v>
      </c>
      <c r="U303" s="392"/>
      <c r="V303" s="392"/>
      <c r="W303" s="392"/>
      <c r="X303" s="392"/>
      <c r="Y303" s="392"/>
      <c r="Z303" s="392"/>
      <c r="AA303" s="392"/>
      <c r="AB303" s="392"/>
    </row>
    <row r="304" spans="1:28" s="336" customFormat="1" x14ac:dyDescent="0.3">
      <c r="A304" s="386">
        <v>130</v>
      </c>
      <c r="B304" s="471">
        <v>381</v>
      </c>
      <c r="C304" s="471"/>
      <c r="D304" s="471"/>
      <c r="E304" s="471"/>
      <c r="F304" s="471"/>
      <c r="G304" s="471"/>
      <c r="H304" s="471"/>
      <c r="I304" s="471"/>
      <c r="J304" s="388" t="s">
        <v>526</v>
      </c>
      <c r="K304" s="336" t="s">
        <v>88</v>
      </c>
      <c r="L304" s="389">
        <f>SUM('RASHODI ZA VIJEĆE'!E327)</f>
        <v>20338</v>
      </c>
      <c r="M304" s="389">
        <f>SUM('RASHODI ZA VIJEĆE'!F327)</f>
        <v>32008</v>
      </c>
      <c r="N304" s="389">
        <f>SUM('RASHODI ZA VIJEĆE'!G327)</f>
        <v>28000</v>
      </c>
      <c r="O304" s="389">
        <f>SUM('RASHODI ZA VIJEĆE'!H327)</f>
        <v>32100</v>
      </c>
      <c r="P304" s="389">
        <f>SUM('RASHODI ZA VIJEĆE'!I327)</f>
        <v>32008</v>
      </c>
      <c r="Q304" s="390">
        <f t="shared" si="64"/>
        <v>1.5738027337988003</v>
      </c>
      <c r="R304" s="390">
        <f t="shared" si="65"/>
        <v>1</v>
      </c>
      <c r="S304" s="390">
        <f t="shared" si="66"/>
        <v>0.99713395638629287</v>
      </c>
      <c r="T304" s="391">
        <v>294</v>
      </c>
      <c r="U304" s="392"/>
      <c r="V304" s="392"/>
      <c r="W304" s="392"/>
      <c r="X304" s="392"/>
      <c r="Y304" s="392"/>
      <c r="Z304" s="392"/>
      <c r="AA304" s="392"/>
      <c r="AB304" s="392"/>
    </row>
    <row r="305" spans="1:28" s="336" customFormat="1" x14ac:dyDescent="0.3">
      <c r="A305" s="386"/>
      <c r="B305" s="387"/>
      <c r="C305" s="387"/>
      <c r="D305" s="387"/>
      <c r="E305" s="387"/>
      <c r="F305" s="387"/>
      <c r="G305" s="387"/>
      <c r="H305" s="387"/>
      <c r="I305" s="387"/>
      <c r="J305" s="388"/>
      <c r="L305" s="389"/>
      <c r="M305" s="389"/>
      <c r="N305" s="389"/>
      <c r="O305" s="389"/>
      <c r="P305" s="389"/>
      <c r="Q305" s="390"/>
      <c r="R305" s="390"/>
      <c r="S305" s="390"/>
      <c r="T305" s="391"/>
      <c r="U305" s="392"/>
      <c r="V305" s="392"/>
      <c r="W305" s="392"/>
      <c r="X305" s="392"/>
      <c r="Y305" s="392"/>
      <c r="Z305" s="392"/>
      <c r="AA305" s="392"/>
      <c r="AB305" s="392"/>
    </row>
    <row r="306" spans="1:28" s="374" customFormat="1" ht="21" thickBot="1" x14ac:dyDescent="0.35">
      <c r="A306" s="400"/>
      <c r="B306" s="376">
        <v>1</v>
      </c>
      <c r="C306" s="376"/>
      <c r="D306" s="376"/>
      <c r="E306" s="376"/>
      <c r="F306" s="376"/>
      <c r="G306" s="376"/>
      <c r="H306" s="376"/>
      <c r="I306" s="355" t="s">
        <v>1107</v>
      </c>
      <c r="J306" s="401"/>
      <c r="K306" s="355"/>
      <c r="L306" s="403">
        <f>SUM(L308+L313)</f>
        <v>32963.46</v>
      </c>
      <c r="M306" s="403">
        <f>SUM(M308+M313)</f>
        <v>90852.419999999984</v>
      </c>
      <c r="N306" s="403">
        <f>SUM(N308+N313)</f>
        <v>86000</v>
      </c>
      <c r="O306" s="403">
        <f>SUM(O308+O313)</f>
        <v>95300</v>
      </c>
      <c r="P306" s="403">
        <f>SUM(P308+P313)</f>
        <v>90852.419999999984</v>
      </c>
      <c r="Q306" s="404">
        <f>IFERROR(SUM(P306/L306),0)</f>
        <v>2.756155452127901</v>
      </c>
      <c r="R306" s="404">
        <f>IFERROR(SUM(P306/M306),0)</f>
        <v>1</v>
      </c>
      <c r="S306" s="404">
        <f>IFERROR(SUM(P306/O306),0)</f>
        <v>0.95333074501573956</v>
      </c>
      <c r="T306" s="375"/>
      <c r="U306" s="373"/>
      <c r="V306" s="373"/>
      <c r="W306" s="373"/>
      <c r="X306" s="373"/>
      <c r="Y306" s="373"/>
      <c r="Z306" s="373"/>
      <c r="AA306" s="373"/>
      <c r="AB306" s="373"/>
    </row>
    <row r="307" spans="1:28" s="322" customFormat="1" ht="21" thickTop="1" x14ac:dyDescent="0.3">
      <c r="A307" s="394"/>
      <c r="B307" s="472" t="s">
        <v>831</v>
      </c>
      <c r="C307" s="472"/>
      <c r="D307" s="472"/>
      <c r="E307" s="472"/>
      <c r="F307" s="472"/>
      <c r="G307" s="472"/>
      <c r="H307" s="472"/>
      <c r="I307" s="472"/>
      <c r="J307" s="472"/>
      <c r="K307" s="472"/>
      <c r="L307" s="379"/>
      <c r="M307" s="379"/>
      <c r="N307" s="379"/>
      <c r="O307" s="379"/>
      <c r="P307" s="379"/>
      <c r="Q307" s="380"/>
      <c r="R307" s="380"/>
      <c r="S307" s="380"/>
      <c r="T307" s="381"/>
      <c r="U307" s="357"/>
      <c r="V307" s="357"/>
      <c r="W307" s="357"/>
      <c r="X307" s="357"/>
      <c r="Y307" s="357"/>
      <c r="Z307" s="357"/>
      <c r="AA307" s="357"/>
      <c r="AB307" s="357"/>
    </row>
    <row r="308" spans="1:28" s="322" customFormat="1" x14ac:dyDescent="0.3">
      <c r="A308" s="394"/>
      <c r="B308" s="472">
        <v>3</v>
      </c>
      <c r="C308" s="472"/>
      <c r="D308" s="472"/>
      <c r="E308" s="472"/>
      <c r="F308" s="472"/>
      <c r="G308" s="472"/>
      <c r="H308" s="472"/>
      <c r="I308" s="472"/>
      <c r="J308" s="395"/>
      <c r="K308" s="273" t="s">
        <v>20</v>
      </c>
      <c r="L308" s="379">
        <f>SUM(L309)</f>
        <v>2558.1799999999998</v>
      </c>
      <c r="M308" s="379">
        <f>SUM(M309)</f>
        <v>4614.18</v>
      </c>
      <c r="N308" s="379">
        <f>SUM(N309)</f>
        <v>4500</v>
      </c>
      <c r="O308" s="379">
        <f>SUM(O309)</f>
        <v>5500</v>
      </c>
      <c r="P308" s="379">
        <f>SUM(P309)</f>
        <v>4614.18</v>
      </c>
      <c r="Q308" s="380">
        <f>IFERROR(SUM(P308/L308),0)</f>
        <v>1.803696377893659</v>
      </c>
      <c r="R308" s="380">
        <f>IFERROR(SUM(P308/M308),0)</f>
        <v>1</v>
      </c>
      <c r="S308" s="380">
        <f>IFERROR(SUM(P308/O308),0)</f>
        <v>0.83894181818181823</v>
      </c>
      <c r="T308" s="381"/>
      <c r="U308" s="357"/>
      <c r="V308" s="357"/>
      <c r="W308" s="357"/>
      <c r="X308" s="357"/>
      <c r="Y308" s="357"/>
      <c r="Z308" s="357"/>
      <c r="AA308" s="357"/>
      <c r="AB308" s="357"/>
    </row>
    <row r="309" spans="1:28" s="322" customFormat="1" x14ac:dyDescent="0.3">
      <c r="A309" s="394"/>
      <c r="B309" s="472">
        <v>36</v>
      </c>
      <c r="C309" s="472"/>
      <c r="D309" s="472"/>
      <c r="E309" s="472"/>
      <c r="F309" s="472"/>
      <c r="G309" s="472"/>
      <c r="H309" s="472"/>
      <c r="I309" s="472"/>
      <c r="J309" s="395"/>
      <c r="K309" s="273" t="s">
        <v>382</v>
      </c>
      <c r="L309" s="379">
        <f>SUM(L310:L311)</f>
        <v>2558.1799999999998</v>
      </c>
      <c r="M309" s="379">
        <f>SUM(M310:M311)</f>
        <v>4614.18</v>
      </c>
      <c r="N309" s="379">
        <f>SUM(N310:N311)</f>
        <v>4500</v>
      </c>
      <c r="O309" s="379">
        <f>SUM(O310:O311)</f>
        <v>5500</v>
      </c>
      <c r="P309" s="379">
        <f>SUM(P310:P311)</f>
        <v>4614.18</v>
      </c>
      <c r="Q309" s="380">
        <f>IFERROR(SUM(P309/L309),0)</f>
        <v>1.803696377893659</v>
      </c>
      <c r="R309" s="380">
        <f>IFERROR(SUM(P309/M309),0)</f>
        <v>1</v>
      </c>
      <c r="S309" s="380">
        <f>IFERROR(SUM(P309/O309),0)</f>
        <v>0.83894181818181823</v>
      </c>
      <c r="T309" s="381"/>
      <c r="U309" s="357"/>
      <c r="V309" s="357"/>
      <c r="W309" s="357"/>
      <c r="X309" s="357"/>
      <c r="Y309" s="357"/>
      <c r="Z309" s="357"/>
      <c r="AA309" s="357"/>
      <c r="AB309" s="357"/>
    </row>
    <row r="310" spans="1:28" s="336" customFormat="1" x14ac:dyDescent="0.3">
      <c r="A310" s="386">
        <v>131</v>
      </c>
      <c r="B310" s="471">
        <v>366</v>
      </c>
      <c r="C310" s="471"/>
      <c r="D310" s="471"/>
      <c r="E310" s="471"/>
      <c r="F310" s="471"/>
      <c r="G310" s="471"/>
      <c r="H310" s="471"/>
      <c r="I310" s="471"/>
      <c r="J310" s="388" t="s">
        <v>527</v>
      </c>
      <c r="K310" s="336" t="s">
        <v>435</v>
      </c>
      <c r="L310" s="389">
        <f>SUM('RASHODI ZA VIJEĆE'!E232)</f>
        <v>2558.1799999999998</v>
      </c>
      <c r="M310" s="389">
        <f>SUM('RASHODI ZA VIJEĆE'!F232)</f>
        <v>4614.18</v>
      </c>
      <c r="N310" s="389">
        <f>SUM('RASHODI ZA VIJEĆE'!G232)</f>
        <v>500</v>
      </c>
      <c r="O310" s="389">
        <f>SUM('RASHODI ZA VIJEĆE'!H232)</f>
        <v>5000</v>
      </c>
      <c r="P310" s="389">
        <f>SUM('RASHODI ZA VIJEĆE'!I232)</f>
        <v>4614.18</v>
      </c>
      <c r="Q310" s="390">
        <f>IFERROR(SUM(P310/L310),0)</f>
        <v>1.803696377893659</v>
      </c>
      <c r="R310" s="390">
        <f>IFERROR(SUM(P310/M310),0)</f>
        <v>1</v>
      </c>
      <c r="S310" s="390">
        <f>IFERROR(SUM(P310/O310),0)</f>
        <v>0.9228360000000001</v>
      </c>
      <c r="T310" s="406">
        <v>223</v>
      </c>
      <c r="U310" s="392"/>
      <c r="V310" s="392"/>
      <c r="W310" s="392"/>
      <c r="X310" s="392"/>
      <c r="Y310" s="392"/>
      <c r="Z310" s="392"/>
      <c r="AA310" s="392"/>
      <c r="AB310" s="392"/>
    </row>
    <row r="311" spans="1:28" s="336" customFormat="1" x14ac:dyDescent="0.3">
      <c r="A311" s="386">
        <v>132</v>
      </c>
      <c r="B311" s="471">
        <v>366</v>
      </c>
      <c r="C311" s="471"/>
      <c r="D311" s="471"/>
      <c r="E311" s="471"/>
      <c r="F311" s="471"/>
      <c r="G311" s="471"/>
      <c r="H311" s="471"/>
      <c r="I311" s="471"/>
      <c r="J311" s="388" t="s">
        <v>527</v>
      </c>
      <c r="K311" s="336" t="s">
        <v>436</v>
      </c>
      <c r="L311" s="389">
        <f>SUM('RASHODI ZA VIJEĆE'!E234)</f>
        <v>0</v>
      </c>
      <c r="M311" s="389">
        <f>SUM('RASHODI ZA VIJEĆE'!F234)</f>
        <v>0</v>
      </c>
      <c r="N311" s="389">
        <f>SUM('RASHODI ZA VIJEĆE'!G234)</f>
        <v>4000</v>
      </c>
      <c r="O311" s="389">
        <f>SUM('RASHODI ZA VIJEĆE'!H234)</f>
        <v>500</v>
      </c>
      <c r="P311" s="389">
        <f>SUM('RASHODI ZA VIJEĆE'!I234)</f>
        <v>0</v>
      </c>
      <c r="Q311" s="390">
        <f>IFERROR(SUM(P311/L311),0)</f>
        <v>0</v>
      </c>
      <c r="R311" s="390">
        <f>IFERROR(SUM(P311/M311),0)</f>
        <v>0</v>
      </c>
      <c r="S311" s="390">
        <f>IFERROR(SUM(P311/O311),0)</f>
        <v>0</v>
      </c>
      <c r="T311" s="391">
        <v>226</v>
      </c>
      <c r="U311" s="392"/>
      <c r="V311" s="392"/>
      <c r="W311" s="392"/>
      <c r="X311" s="392"/>
      <c r="Y311" s="392"/>
      <c r="Z311" s="392"/>
      <c r="AA311" s="392"/>
      <c r="AB311" s="392"/>
    </row>
    <row r="312" spans="1:28" s="322" customFormat="1" x14ac:dyDescent="0.3">
      <c r="A312" s="394"/>
      <c r="B312" s="472" t="s">
        <v>963</v>
      </c>
      <c r="C312" s="472"/>
      <c r="D312" s="472"/>
      <c r="E312" s="472"/>
      <c r="F312" s="472"/>
      <c r="G312" s="472"/>
      <c r="H312" s="472"/>
      <c r="I312" s="472"/>
      <c r="J312" s="472"/>
      <c r="K312" s="472"/>
      <c r="L312" s="398"/>
      <c r="M312" s="398"/>
      <c r="N312" s="398"/>
      <c r="O312" s="398"/>
      <c r="P312" s="398"/>
      <c r="Q312" s="380"/>
      <c r="R312" s="380"/>
      <c r="S312" s="380"/>
      <c r="T312" s="396"/>
      <c r="U312" s="357"/>
      <c r="V312" s="357"/>
      <c r="W312" s="357"/>
      <c r="X312" s="357"/>
      <c r="Y312" s="357"/>
      <c r="Z312" s="357"/>
      <c r="AA312" s="357"/>
      <c r="AB312" s="357"/>
    </row>
    <row r="313" spans="1:28" s="322" customFormat="1" x14ac:dyDescent="0.3">
      <c r="A313" s="394"/>
      <c r="B313" s="472">
        <v>3</v>
      </c>
      <c r="C313" s="472"/>
      <c r="D313" s="472"/>
      <c r="E313" s="472"/>
      <c r="F313" s="472"/>
      <c r="G313" s="472"/>
      <c r="H313" s="472"/>
      <c r="I313" s="472"/>
      <c r="J313" s="395"/>
      <c r="K313" s="273" t="s">
        <v>20</v>
      </c>
      <c r="L313" s="379">
        <f>SUM(L314)</f>
        <v>30405.279999999999</v>
      </c>
      <c r="M313" s="379">
        <f>SUM(M314)</f>
        <v>86238.239999999991</v>
      </c>
      <c r="N313" s="379">
        <f>SUM(N314)</f>
        <v>81500</v>
      </c>
      <c r="O313" s="379">
        <f>SUM(O314)</f>
        <v>89800</v>
      </c>
      <c r="P313" s="379">
        <f>SUM(P314)</f>
        <v>86238.239999999991</v>
      </c>
      <c r="Q313" s="380">
        <f>IFERROR(SUM(P313/L313),0)</f>
        <v>2.8362915914604305</v>
      </c>
      <c r="R313" s="380">
        <f>IFERROR(SUM(P313/M313),0)</f>
        <v>1</v>
      </c>
      <c r="S313" s="380">
        <f>IFERROR(SUM(P313/O313),0)</f>
        <v>0.96033674832962124</v>
      </c>
      <c r="T313" s="396"/>
      <c r="U313" s="357"/>
      <c r="V313" s="357"/>
      <c r="W313" s="357"/>
      <c r="X313" s="357"/>
      <c r="Y313" s="357"/>
      <c r="Z313" s="357"/>
      <c r="AA313" s="357"/>
      <c r="AB313" s="357"/>
    </row>
    <row r="314" spans="1:28" s="322" customFormat="1" x14ac:dyDescent="0.3">
      <c r="A314" s="394"/>
      <c r="B314" s="472">
        <v>37</v>
      </c>
      <c r="C314" s="472"/>
      <c r="D314" s="472"/>
      <c r="E314" s="472"/>
      <c r="F314" s="472"/>
      <c r="G314" s="472"/>
      <c r="H314" s="472"/>
      <c r="I314" s="472"/>
      <c r="J314" s="395"/>
      <c r="K314" s="273" t="s">
        <v>21</v>
      </c>
      <c r="L314" s="379">
        <f>SUM(L315:L317)</f>
        <v>30405.279999999999</v>
      </c>
      <c r="M314" s="379">
        <f>SUM(M315:M317)</f>
        <v>86238.239999999991</v>
      </c>
      <c r="N314" s="379">
        <f>SUM(N315:N317)</f>
        <v>81500</v>
      </c>
      <c r="O314" s="379">
        <f>SUM(O315:O317)</f>
        <v>89800</v>
      </c>
      <c r="P314" s="379">
        <f>SUM(P315:P317)</f>
        <v>86238.239999999991</v>
      </c>
      <c r="Q314" s="380">
        <f>IFERROR(SUM(P314/L314),0)</f>
        <v>2.8362915914604305</v>
      </c>
      <c r="R314" s="380">
        <f>IFERROR(SUM(P314/M314),0)</f>
        <v>1</v>
      </c>
      <c r="S314" s="380">
        <f>IFERROR(SUM(P314/O314),0)</f>
        <v>0.96033674832962124</v>
      </c>
      <c r="T314" s="396"/>
      <c r="U314" s="357"/>
      <c r="V314" s="357"/>
      <c r="W314" s="357"/>
      <c r="X314" s="357"/>
      <c r="Y314" s="357"/>
      <c r="Z314" s="357"/>
      <c r="AA314" s="357"/>
      <c r="AB314" s="357"/>
    </row>
    <row r="315" spans="1:28" s="336" customFormat="1" x14ac:dyDescent="0.3">
      <c r="A315" s="386">
        <v>133</v>
      </c>
      <c r="B315" s="471">
        <v>371</v>
      </c>
      <c r="C315" s="471"/>
      <c r="D315" s="471"/>
      <c r="E315" s="471"/>
      <c r="F315" s="471"/>
      <c r="G315" s="471"/>
      <c r="H315" s="471"/>
      <c r="I315" s="471"/>
      <c r="J315" s="388" t="s">
        <v>523</v>
      </c>
      <c r="K315" s="336" t="s">
        <v>961</v>
      </c>
      <c r="L315" s="389">
        <f>SUM('RASHODI ZA VIJEĆE'!E251)</f>
        <v>0</v>
      </c>
      <c r="M315" s="389">
        <f>SUM('RASHODI ZA VIJEĆE'!F251)</f>
        <v>35800</v>
      </c>
      <c r="N315" s="389">
        <f>SUM('RASHODI ZA VIJEĆE'!G251)</f>
        <v>40000</v>
      </c>
      <c r="O315" s="389">
        <f>SUM('RASHODI ZA VIJEĆE'!H251)</f>
        <v>36000</v>
      </c>
      <c r="P315" s="389">
        <f>SUM('RASHODI ZA VIJEĆE'!I251)</f>
        <v>35800</v>
      </c>
      <c r="Q315" s="390">
        <f>IFERROR(SUM(P315/L315),0)</f>
        <v>0</v>
      </c>
      <c r="R315" s="390">
        <f>IFERROR(SUM(P315/M315),0)</f>
        <v>1</v>
      </c>
      <c r="S315" s="390">
        <f>IFERROR(SUM(P315/O315),0)</f>
        <v>0.99444444444444446</v>
      </c>
      <c r="T315" s="391"/>
      <c r="U315" s="392"/>
      <c r="V315" s="392"/>
      <c r="W315" s="392"/>
      <c r="X315" s="392"/>
      <c r="Y315" s="392"/>
      <c r="Z315" s="392"/>
      <c r="AA315" s="392"/>
      <c r="AB315" s="392"/>
    </row>
    <row r="316" spans="1:28" s="336" customFormat="1" x14ac:dyDescent="0.3">
      <c r="A316" s="386">
        <v>134</v>
      </c>
      <c r="B316" s="471">
        <v>372</v>
      </c>
      <c r="C316" s="471"/>
      <c r="D316" s="471"/>
      <c r="E316" s="471"/>
      <c r="F316" s="471"/>
      <c r="G316" s="471"/>
      <c r="H316" s="471"/>
      <c r="I316" s="471"/>
      <c r="J316" s="388" t="s">
        <v>523</v>
      </c>
      <c r="K316" s="336" t="s">
        <v>50</v>
      </c>
      <c r="L316" s="389">
        <f>SUM('RASHODI ZA VIJEĆE'!E258+'RASHODI ZA VIJEĆE'!E259)</f>
        <v>27813.279999999999</v>
      </c>
      <c r="M316" s="389">
        <f>SUM('RASHODI ZA VIJEĆE'!F258+'RASHODI ZA VIJEĆE'!F259)</f>
        <v>45470.239999999998</v>
      </c>
      <c r="N316" s="389">
        <f>SUM('RASHODI ZA VIJEĆE'!G258+'RASHODI ZA VIJEĆE'!G259)</f>
        <v>41500</v>
      </c>
      <c r="O316" s="389">
        <f>SUM('RASHODI ZA VIJEĆE'!H258+'RASHODI ZA VIJEĆE'!H259)</f>
        <v>46800</v>
      </c>
      <c r="P316" s="389">
        <f>SUM('RASHODI ZA VIJEĆE'!I258+'RASHODI ZA VIJEĆE'!I259)</f>
        <v>45470.239999999998</v>
      </c>
      <c r="Q316" s="390">
        <f>IFERROR(SUM(P316/L316),0)</f>
        <v>1.6348391847347741</v>
      </c>
      <c r="R316" s="390">
        <f>IFERROR(SUM(P316/M316),0)</f>
        <v>1</v>
      </c>
      <c r="S316" s="390">
        <f>IFERROR(SUM(P316/O316),0)</f>
        <v>0.97158632478632478</v>
      </c>
      <c r="T316" s="391" t="s">
        <v>491</v>
      </c>
      <c r="U316" s="392"/>
      <c r="V316" s="392"/>
      <c r="W316" s="392"/>
      <c r="X316" s="392"/>
      <c r="Y316" s="392"/>
      <c r="Z316" s="392"/>
      <c r="AA316" s="392"/>
      <c r="AB316" s="392"/>
    </row>
    <row r="317" spans="1:28" s="336" customFormat="1" x14ac:dyDescent="0.3">
      <c r="A317" s="386"/>
      <c r="B317" s="471">
        <v>372</v>
      </c>
      <c r="C317" s="471"/>
      <c r="D317" s="471"/>
      <c r="E317" s="471"/>
      <c r="F317" s="471"/>
      <c r="G317" s="471"/>
      <c r="H317" s="471"/>
      <c r="I317" s="471"/>
      <c r="J317" s="388" t="s">
        <v>523</v>
      </c>
      <c r="K317" s="336" t="s">
        <v>995</v>
      </c>
      <c r="L317" s="389">
        <f>SUM('RASHODI ZA VIJEĆE'!E248)</f>
        <v>2592</v>
      </c>
      <c r="M317" s="389">
        <f>SUM('RASHODI ZA VIJEĆE'!F248)</f>
        <v>4968</v>
      </c>
      <c r="N317" s="389">
        <f>SUM('RASHODI ZA VIJEĆE'!G248)</f>
        <v>0</v>
      </c>
      <c r="O317" s="389">
        <f>SUM('RASHODI ZA VIJEĆE'!H248)</f>
        <v>7000</v>
      </c>
      <c r="P317" s="389">
        <f>SUM('RASHODI ZA VIJEĆE'!I248)</f>
        <v>4968</v>
      </c>
      <c r="Q317" s="390">
        <f>IFERROR(SUM(P317/L317),0)</f>
        <v>1.9166666666666667</v>
      </c>
      <c r="R317" s="390">
        <f>IFERROR(SUM(P317/M317),0)</f>
        <v>1</v>
      </c>
      <c r="S317" s="390">
        <f>IFERROR(SUM(P317/O317),0)</f>
        <v>0.70971428571428574</v>
      </c>
      <c r="T317" s="391"/>
      <c r="U317" s="392"/>
      <c r="V317" s="392"/>
      <c r="W317" s="392"/>
      <c r="X317" s="392"/>
      <c r="Y317" s="392"/>
      <c r="Z317" s="392"/>
      <c r="AA317" s="392"/>
      <c r="AB317" s="392"/>
    </row>
    <row r="318" spans="1:28" s="336" customFormat="1" x14ac:dyDescent="0.3">
      <c r="A318" s="386"/>
      <c r="B318" s="387"/>
      <c r="C318" s="387"/>
      <c r="D318" s="387"/>
      <c r="E318" s="387"/>
      <c r="F318" s="387"/>
      <c r="G318" s="387"/>
      <c r="H318" s="387"/>
      <c r="I318" s="387"/>
      <c r="J318" s="388"/>
      <c r="L318" s="389"/>
      <c r="M318" s="389"/>
      <c r="N318" s="389"/>
      <c r="O318" s="389"/>
      <c r="P318" s="389"/>
      <c r="Q318" s="390"/>
      <c r="R318" s="390"/>
      <c r="S318" s="390"/>
      <c r="T318" s="391"/>
      <c r="U318" s="392"/>
      <c r="V318" s="392"/>
      <c r="W318" s="392"/>
      <c r="X318" s="392"/>
      <c r="Y318" s="392"/>
      <c r="Z318" s="392"/>
      <c r="AA318" s="392"/>
      <c r="AB318" s="392"/>
    </row>
    <row r="319" spans="1:28" s="374" customFormat="1" ht="21" thickBot="1" x14ac:dyDescent="0.35">
      <c r="A319" s="400"/>
      <c r="B319" s="376">
        <v>1</v>
      </c>
      <c r="C319" s="376"/>
      <c r="D319" s="376"/>
      <c r="E319" s="376"/>
      <c r="F319" s="376">
        <v>5</v>
      </c>
      <c r="G319" s="376"/>
      <c r="H319" s="376"/>
      <c r="I319" s="355" t="s">
        <v>1108</v>
      </c>
      <c r="J319" s="401"/>
      <c r="K319" s="355"/>
      <c r="L319" s="403">
        <f>SUM(L321)</f>
        <v>46860</v>
      </c>
      <c r="M319" s="403">
        <f>SUM(M321)</f>
        <v>78980</v>
      </c>
      <c r="N319" s="403">
        <f>SUM(N321)</f>
        <v>93000</v>
      </c>
      <c r="O319" s="403">
        <f>SUM(O321)</f>
        <v>93000</v>
      </c>
      <c r="P319" s="403">
        <f>SUM(P321)</f>
        <v>78980</v>
      </c>
      <c r="Q319" s="404">
        <f>IFERROR(SUM(P319/L319),0)</f>
        <v>1.6854460093896713</v>
      </c>
      <c r="R319" s="404">
        <f>IFERROR(SUM(P319/M319),0)</f>
        <v>1</v>
      </c>
      <c r="S319" s="404">
        <f>IFERROR(SUM(P319/O319),0)</f>
        <v>0.84924731182795699</v>
      </c>
      <c r="T319" s="375"/>
      <c r="U319" s="373"/>
      <c r="V319" s="373"/>
      <c r="W319" s="373"/>
      <c r="X319" s="373"/>
      <c r="Y319" s="373"/>
      <c r="Z319" s="373"/>
      <c r="AA319" s="373"/>
      <c r="AB319" s="373"/>
    </row>
    <row r="320" spans="1:28" s="322" customFormat="1" ht="21" thickTop="1" x14ac:dyDescent="0.3">
      <c r="A320" s="394"/>
      <c r="B320" s="472" t="s">
        <v>832</v>
      </c>
      <c r="C320" s="472"/>
      <c r="D320" s="472"/>
      <c r="E320" s="472"/>
      <c r="F320" s="472"/>
      <c r="G320" s="472"/>
      <c r="H320" s="472"/>
      <c r="I320" s="472"/>
      <c r="J320" s="472"/>
      <c r="K320" s="472"/>
      <c r="L320" s="398"/>
      <c r="M320" s="398"/>
      <c r="N320" s="398"/>
      <c r="O320" s="398"/>
      <c r="P320" s="398"/>
      <c r="Q320" s="380"/>
      <c r="R320" s="380"/>
      <c r="S320" s="380"/>
      <c r="T320" s="396"/>
      <c r="U320" s="357"/>
      <c r="V320" s="357"/>
      <c r="W320" s="357"/>
      <c r="X320" s="357"/>
      <c r="Y320" s="357"/>
      <c r="Z320" s="357"/>
      <c r="AA320" s="357"/>
      <c r="AB320" s="357"/>
    </row>
    <row r="321" spans="1:28" s="322" customFormat="1" x14ac:dyDescent="0.3">
      <c r="A321" s="394"/>
      <c r="B321" s="472">
        <v>3</v>
      </c>
      <c r="C321" s="472"/>
      <c r="D321" s="472"/>
      <c r="E321" s="472"/>
      <c r="F321" s="472"/>
      <c r="G321" s="472"/>
      <c r="H321" s="472"/>
      <c r="I321" s="472"/>
      <c r="J321" s="395"/>
      <c r="K321" s="273" t="s">
        <v>20</v>
      </c>
      <c r="L321" s="379">
        <f>SUM(L322)</f>
        <v>46860</v>
      </c>
      <c r="M321" s="379">
        <f t="shared" ref="M321:P322" si="67">SUM(M322)</f>
        <v>78980</v>
      </c>
      <c r="N321" s="379">
        <f t="shared" si="67"/>
        <v>93000</v>
      </c>
      <c r="O321" s="379">
        <f t="shared" si="67"/>
        <v>93000</v>
      </c>
      <c r="P321" s="379">
        <f t="shared" si="67"/>
        <v>78980</v>
      </c>
      <c r="Q321" s="380">
        <f>IFERROR(SUM(P321/L321),0)</f>
        <v>1.6854460093896713</v>
      </c>
      <c r="R321" s="380">
        <f>IFERROR(SUM(P321/M321),0)</f>
        <v>1</v>
      </c>
      <c r="S321" s="380">
        <f>IFERROR(SUM(P321/O321),0)</f>
        <v>0.84924731182795699</v>
      </c>
      <c r="T321" s="396"/>
      <c r="U321" s="357"/>
      <c r="V321" s="357"/>
      <c r="W321" s="357"/>
      <c r="X321" s="357"/>
      <c r="Y321" s="357"/>
      <c r="Z321" s="357"/>
      <c r="AA321" s="357"/>
      <c r="AB321" s="357"/>
    </row>
    <row r="322" spans="1:28" s="322" customFormat="1" x14ac:dyDescent="0.3">
      <c r="A322" s="394"/>
      <c r="B322" s="472">
        <v>37</v>
      </c>
      <c r="C322" s="472"/>
      <c r="D322" s="472"/>
      <c r="E322" s="472"/>
      <c r="F322" s="472"/>
      <c r="G322" s="472"/>
      <c r="H322" s="472"/>
      <c r="I322" s="472"/>
      <c r="J322" s="395"/>
      <c r="K322" s="273" t="s">
        <v>21</v>
      </c>
      <c r="L322" s="379">
        <f>SUM(L323)</f>
        <v>46860</v>
      </c>
      <c r="M322" s="379">
        <f t="shared" si="67"/>
        <v>78980</v>
      </c>
      <c r="N322" s="379">
        <f t="shared" si="67"/>
        <v>93000</v>
      </c>
      <c r="O322" s="379">
        <f t="shared" si="67"/>
        <v>93000</v>
      </c>
      <c r="P322" s="379">
        <f t="shared" si="67"/>
        <v>78980</v>
      </c>
      <c r="Q322" s="380">
        <f>IFERROR(SUM(P322/L322),0)</f>
        <v>1.6854460093896713</v>
      </c>
      <c r="R322" s="380">
        <f>IFERROR(SUM(P322/M322),0)</f>
        <v>1</v>
      </c>
      <c r="S322" s="380">
        <f>IFERROR(SUM(P322/O322),0)</f>
        <v>0.84924731182795699</v>
      </c>
      <c r="T322" s="396"/>
      <c r="U322" s="357"/>
      <c r="V322" s="357"/>
      <c r="W322" s="357"/>
      <c r="X322" s="357"/>
      <c r="Y322" s="357"/>
      <c r="Z322" s="357"/>
      <c r="AA322" s="357"/>
      <c r="AB322" s="357"/>
    </row>
    <row r="323" spans="1:28" s="336" customFormat="1" x14ac:dyDescent="0.3">
      <c r="A323" s="386">
        <v>135</v>
      </c>
      <c r="B323" s="471">
        <v>372</v>
      </c>
      <c r="C323" s="471"/>
      <c r="D323" s="471"/>
      <c r="E323" s="471"/>
      <c r="F323" s="471"/>
      <c r="G323" s="471"/>
      <c r="H323" s="471"/>
      <c r="I323" s="471"/>
      <c r="J323" s="388" t="s">
        <v>523</v>
      </c>
      <c r="K323" s="336" t="s">
        <v>996</v>
      </c>
      <c r="L323" s="389">
        <f>SUM('RASHODI ZA VIJEĆE'!E247)</f>
        <v>46860</v>
      </c>
      <c r="M323" s="389">
        <f>SUM('RASHODI ZA VIJEĆE'!F247)</f>
        <v>78980</v>
      </c>
      <c r="N323" s="389">
        <f>SUM('RASHODI ZA VIJEĆE'!G247)</f>
        <v>93000</v>
      </c>
      <c r="O323" s="389">
        <f>SUM('RASHODI ZA VIJEĆE'!H247)</f>
        <v>93000</v>
      </c>
      <c r="P323" s="389">
        <f>SUM('RASHODI ZA VIJEĆE'!I247)</f>
        <v>78980</v>
      </c>
      <c r="Q323" s="390">
        <f>IFERROR(SUM(P323/L323),0)</f>
        <v>1.6854460093896713</v>
      </c>
      <c r="R323" s="390">
        <f>IFERROR(SUM(P323/M323),0)</f>
        <v>1</v>
      </c>
      <c r="S323" s="390">
        <f>IFERROR(SUM(P323/O323),0)</f>
        <v>0.84924731182795699</v>
      </c>
      <c r="T323" s="391">
        <v>235</v>
      </c>
      <c r="U323" s="392"/>
      <c r="V323" s="392"/>
      <c r="W323" s="392"/>
      <c r="X323" s="392"/>
      <c r="Y323" s="392"/>
      <c r="Z323" s="392"/>
      <c r="AA323" s="392"/>
      <c r="AB323" s="392"/>
    </row>
    <row r="324" spans="1:28" s="336" customFormat="1" x14ac:dyDescent="0.3">
      <c r="A324" s="386"/>
      <c r="B324" s="387"/>
      <c r="C324" s="387"/>
      <c r="D324" s="387"/>
      <c r="E324" s="387"/>
      <c r="F324" s="387"/>
      <c r="G324" s="387"/>
      <c r="H324" s="387"/>
      <c r="I324" s="387"/>
      <c r="J324" s="388"/>
      <c r="L324" s="389"/>
      <c r="M324" s="389"/>
      <c r="N324" s="389"/>
      <c r="O324" s="389"/>
      <c r="P324" s="389"/>
      <c r="Q324" s="390"/>
      <c r="R324" s="390"/>
      <c r="S324" s="390"/>
      <c r="T324" s="391"/>
      <c r="U324" s="392"/>
      <c r="V324" s="392"/>
      <c r="W324" s="392"/>
      <c r="X324" s="392"/>
      <c r="Y324" s="392"/>
      <c r="Z324" s="392"/>
      <c r="AA324" s="392"/>
      <c r="AB324" s="392"/>
    </row>
    <row r="325" spans="1:28" s="374" customFormat="1" ht="21" thickBot="1" x14ac:dyDescent="0.35">
      <c r="A325" s="400"/>
      <c r="B325" s="376">
        <v>1</v>
      </c>
      <c r="C325" s="376"/>
      <c r="D325" s="376">
        <v>3</v>
      </c>
      <c r="E325" s="376">
        <v>4</v>
      </c>
      <c r="F325" s="376"/>
      <c r="G325" s="376"/>
      <c r="H325" s="376"/>
      <c r="I325" s="355" t="s">
        <v>1109</v>
      </c>
      <c r="J325" s="401"/>
      <c r="K325" s="355"/>
      <c r="L325" s="403">
        <f>SUM(L327)</f>
        <v>0</v>
      </c>
      <c r="M325" s="403">
        <f>SUM(M327)</f>
        <v>0</v>
      </c>
      <c r="N325" s="403">
        <f>SUM(N327)</f>
        <v>1000000</v>
      </c>
      <c r="O325" s="403">
        <f>SUM(O327)</f>
        <v>100000</v>
      </c>
      <c r="P325" s="403">
        <f>SUM(P327)</f>
        <v>0</v>
      </c>
      <c r="Q325" s="404">
        <f>IFERROR(SUM(P325/L325),0)</f>
        <v>0</v>
      </c>
      <c r="R325" s="404">
        <f>IFERROR(SUM(P325/M325),0)</f>
        <v>0</v>
      </c>
      <c r="S325" s="404">
        <f>IFERROR(SUM(P325/O325),0)</f>
        <v>0</v>
      </c>
      <c r="T325" s="375"/>
      <c r="U325" s="373"/>
      <c r="V325" s="373"/>
      <c r="W325" s="373"/>
      <c r="X325" s="373"/>
      <c r="Y325" s="373"/>
      <c r="Z325" s="373"/>
      <c r="AA325" s="373"/>
      <c r="AB325" s="373"/>
    </row>
    <row r="326" spans="1:28" s="322" customFormat="1" ht="21" thickTop="1" x14ac:dyDescent="0.3">
      <c r="A326" s="394"/>
      <c r="B326" s="472" t="s">
        <v>833</v>
      </c>
      <c r="C326" s="472"/>
      <c r="D326" s="472"/>
      <c r="E326" s="472"/>
      <c r="F326" s="472"/>
      <c r="G326" s="472"/>
      <c r="H326" s="472"/>
      <c r="I326" s="472"/>
      <c r="J326" s="472"/>
      <c r="K326" s="472"/>
      <c r="L326" s="398"/>
      <c r="M326" s="398"/>
      <c r="N326" s="398"/>
      <c r="O326" s="398"/>
      <c r="P326" s="398"/>
      <c r="Q326" s="380"/>
      <c r="R326" s="380"/>
      <c r="S326" s="380"/>
      <c r="T326" s="396"/>
      <c r="U326" s="357"/>
      <c r="V326" s="357"/>
      <c r="W326" s="357"/>
      <c r="X326" s="357"/>
      <c r="Y326" s="357"/>
      <c r="Z326" s="357"/>
      <c r="AA326" s="357"/>
      <c r="AB326" s="357"/>
    </row>
    <row r="327" spans="1:28" s="322" customFormat="1" x14ac:dyDescent="0.3">
      <c r="A327" s="394"/>
      <c r="B327" s="472">
        <v>4</v>
      </c>
      <c r="C327" s="472"/>
      <c r="D327" s="472"/>
      <c r="E327" s="472"/>
      <c r="F327" s="472"/>
      <c r="G327" s="472"/>
      <c r="H327" s="472"/>
      <c r="I327" s="472"/>
      <c r="J327" s="395"/>
      <c r="K327" s="273" t="s">
        <v>11</v>
      </c>
      <c r="L327" s="379">
        <f>SUM(L328)</f>
        <v>0</v>
      </c>
      <c r="M327" s="379">
        <f>SUM(M328)</f>
        <v>0</v>
      </c>
      <c r="N327" s="379">
        <f>SUM(N328)</f>
        <v>1000000</v>
      </c>
      <c r="O327" s="379">
        <f>SUM(O328)</f>
        <v>100000</v>
      </c>
      <c r="P327" s="379">
        <f>SUM(P328)</f>
        <v>0</v>
      </c>
      <c r="Q327" s="380">
        <f>IFERROR(SUM(P327/L327),0)</f>
        <v>0</v>
      </c>
      <c r="R327" s="380">
        <f>IFERROR(SUM(P327/M327),0)</f>
        <v>0</v>
      </c>
      <c r="S327" s="380">
        <f>IFERROR(SUM(P327/O327),0)</f>
        <v>0</v>
      </c>
      <c r="T327" s="396"/>
      <c r="U327" s="357"/>
      <c r="V327" s="357"/>
      <c r="W327" s="357"/>
      <c r="X327" s="357"/>
      <c r="Y327" s="357"/>
      <c r="Z327" s="357"/>
      <c r="AA327" s="357"/>
      <c r="AB327" s="357"/>
    </row>
    <row r="328" spans="1:28" s="322" customFormat="1" x14ac:dyDescent="0.3">
      <c r="A328" s="394"/>
      <c r="B328" s="472">
        <v>42</v>
      </c>
      <c r="C328" s="472"/>
      <c r="D328" s="472"/>
      <c r="E328" s="472"/>
      <c r="F328" s="472"/>
      <c r="G328" s="472"/>
      <c r="H328" s="472"/>
      <c r="I328" s="472"/>
      <c r="J328" s="395"/>
      <c r="K328" s="273" t="s">
        <v>23</v>
      </c>
      <c r="L328" s="379">
        <f>SUM(L329:L330)</f>
        <v>0</v>
      </c>
      <c r="M328" s="379">
        <f>SUM(M329:M330)</f>
        <v>0</v>
      </c>
      <c r="N328" s="379">
        <f>SUM(N329:N330)</f>
        <v>1000000</v>
      </c>
      <c r="O328" s="379">
        <f>SUM(O329:O330)</f>
        <v>100000</v>
      </c>
      <c r="P328" s="379">
        <f>SUM(P329:P330)</f>
        <v>0</v>
      </c>
      <c r="Q328" s="380">
        <f>IFERROR(SUM(P328/L328),0)</f>
        <v>0</v>
      </c>
      <c r="R328" s="380">
        <f>IFERROR(SUM(P328/M328),0)</f>
        <v>0</v>
      </c>
      <c r="S328" s="380">
        <f>IFERROR(SUM(P328/O328),0)</f>
        <v>0</v>
      </c>
      <c r="T328" s="396"/>
      <c r="U328" s="357"/>
      <c r="V328" s="357"/>
      <c r="W328" s="357"/>
      <c r="X328" s="357"/>
      <c r="Y328" s="357"/>
      <c r="Z328" s="357"/>
      <c r="AA328" s="357"/>
      <c r="AB328" s="357"/>
    </row>
    <row r="329" spans="1:28" s="336" customFormat="1" x14ac:dyDescent="0.3">
      <c r="A329" s="386">
        <v>136</v>
      </c>
      <c r="B329" s="471">
        <v>421</v>
      </c>
      <c r="C329" s="471"/>
      <c r="D329" s="471"/>
      <c r="E329" s="471"/>
      <c r="F329" s="471"/>
      <c r="G329" s="471"/>
      <c r="H329" s="471"/>
      <c r="I329" s="471"/>
      <c r="J329" s="388" t="s">
        <v>518</v>
      </c>
      <c r="K329" s="397" t="s">
        <v>457</v>
      </c>
      <c r="L329" s="389">
        <f>SUM('RASHODI ZA VIJEĆE'!E349)</f>
        <v>0</v>
      </c>
      <c r="M329" s="389">
        <f>SUM('RASHODI ZA VIJEĆE'!F349)</f>
        <v>0</v>
      </c>
      <c r="N329" s="389">
        <f>SUM('RASHODI ZA VIJEĆE'!G349)</f>
        <v>0</v>
      </c>
      <c r="O329" s="389">
        <f>SUM('RASHODI ZA VIJEĆE'!H349)</f>
        <v>0</v>
      </c>
      <c r="P329" s="389">
        <f>SUM('RASHODI ZA VIJEĆE'!I349)</f>
        <v>0</v>
      </c>
      <c r="Q329" s="390">
        <f>IFERROR(SUM(P329/L329),0)</f>
        <v>0</v>
      </c>
      <c r="R329" s="390">
        <f>IFERROR(SUM(P329/M329),0)</f>
        <v>0</v>
      </c>
      <c r="S329" s="390">
        <f>IFERROR(SUM(P329/O329),0)</f>
        <v>0</v>
      </c>
      <c r="T329" s="391"/>
      <c r="U329" s="392"/>
      <c r="V329" s="392"/>
      <c r="W329" s="392"/>
      <c r="X329" s="392"/>
      <c r="Y329" s="392"/>
      <c r="Z329" s="392"/>
      <c r="AA329" s="392"/>
      <c r="AB329" s="392"/>
    </row>
    <row r="330" spans="1:28" s="336" customFormat="1" x14ac:dyDescent="0.3">
      <c r="A330" s="386">
        <v>137</v>
      </c>
      <c r="B330" s="471">
        <v>421</v>
      </c>
      <c r="C330" s="471"/>
      <c r="D330" s="471"/>
      <c r="E330" s="471"/>
      <c r="F330" s="471"/>
      <c r="G330" s="471"/>
      <c r="H330" s="471"/>
      <c r="I330" s="471"/>
      <c r="J330" s="388" t="s">
        <v>518</v>
      </c>
      <c r="K330" s="397" t="s">
        <v>799</v>
      </c>
      <c r="L330" s="389">
        <f>SUM('RASHODI ZA VIJEĆE'!E350)</f>
        <v>0</v>
      </c>
      <c r="M330" s="389">
        <f>SUM('RASHODI ZA VIJEĆE'!F350)</f>
        <v>0</v>
      </c>
      <c r="N330" s="389">
        <f>SUM('RASHODI ZA VIJEĆE'!G350)</f>
        <v>1000000</v>
      </c>
      <c r="O330" s="389">
        <f>SUM('RASHODI ZA VIJEĆE'!H350)</f>
        <v>100000</v>
      </c>
      <c r="P330" s="389">
        <f>SUM('RASHODI ZA VIJEĆE'!I350)</f>
        <v>0</v>
      </c>
      <c r="Q330" s="390">
        <f>IFERROR(SUM(P330/L330),0)</f>
        <v>0</v>
      </c>
      <c r="R330" s="390">
        <f>IFERROR(SUM(P330/M330),0)</f>
        <v>0</v>
      </c>
      <c r="S330" s="390">
        <f>IFERROR(SUM(P330/O330),0)</f>
        <v>0</v>
      </c>
      <c r="T330" s="391"/>
      <c r="U330" s="392"/>
      <c r="V330" s="392"/>
      <c r="W330" s="392"/>
      <c r="X330" s="392"/>
      <c r="Y330" s="392"/>
      <c r="Z330" s="392"/>
      <c r="AA330" s="392"/>
      <c r="AB330" s="392"/>
    </row>
    <row r="331" spans="1:28" s="336" customFormat="1" x14ac:dyDescent="0.3">
      <c r="A331" s="386"/>
      <c r="B331" s="387"/>
      <c r="C331" s="387"/>
      <c r="D331" s="387"/>
      <c r="E331" s="387"/>
      <c r="F331" s="387"/>
      <c r="G331" s="387"/>
      <c r="H331" s="387"/>
      <c r="I331" s="387"/>
      <c r="J331" s="388"/>
      <c r="K331" s="397"/>
      <c r="L331" s="389"/>
      <c r="M331" s="389"/>
      <c r="N331" s="389"/>
      <c r="O331" s="389"/>
      <c r="P331" s="389"/>
      <c r="Q331" s="390"/>
      <c r="R331" s="390"/>
      <c r="S331" s="390"/>
      <c r="T331" s="391"/>
      <c r="U331" s="392"/>
      <c r="V331" s="392"/>
      <c r="W331" s="392"/>
      <c r="X331" s="392"/>
      <c r="Y331" s="392"/>
      <c r="Z331" s="392"/>
      <c r="AA331" s="392"/>
      <c r="AB331" s="392"/>
    </row>
    <row r="332" spans="1:28" s="374" customFormat="1" ht="21" thickBot="1" x14ac:dyDescent="0.35">
      <c r="A332" s="400"/>
      <c r="B332" s="376">
        <v>1</v>
      </c>
      <c r="C332" s="376"/>
      <c r="D332" s="376"/>
      <c r="E332" s="376"/>
      <c r="F332" s="376"/>
      <c r="G332" s="376"/>
      <c r="H332" s="376"/>
      <c r="I332" s="355" t="s">
        <v>1110</v>
      </c>
      <c r="J332" s="401"/>
      <c r="K332" s="402"/>
      <c r="L332" s="403">
        <f>SUM(L334+L338)</f>
        <v>16703.91</v>
      </c>
      <c r="M332" s="403">
        <f>SUM(M334+M338)</f>
        <v>37574.57</v>
      </c>
      <c r="N332" s="403">
        <f>SUM(N334+N338)</f>
        <v>20000</v>
      </c>
      <c r="O332" s="403">
        <f>SUM(O334+O338)</f>
        <v>49200</v>
      </c>
      <c r="P332" s="403">
        <f>SUM(P334+P338)</f>
        <v>37574.57</v>
      </c>
      <c r="Q332" s="404">
        <f>IFERROR(SUM(P332/L332),0)</f>
        <v>2.2494475844278377</v>
      </c>
      <c r="R332" s="404">
        <f>IFERROR(SUM(P332/M332),0)</f>
        <v>1</v>
      </c>
      <c r="S332" s="404">
        <f>IFERROR(SUM(P332/O332),0)</f>
        <v>0.76371077235772356</v>
      </c>
      <c r="T332" s="375"/>
      <c r="U332" s="373"/>
      <c r="V332" s="373"/>
      <c r="W332" s="373"/>
      <c r="X332" s="373"/>
      <c r="Y332" s="373"/>
      <c r="Z332" s="373"/>
      <c r="AA332" s="373"/>
      <c r="AB332" s="373"/>
    </row>
    <row r="333" spans="1:28" s="322" customFormat="1" ht="21" thickTop="1" x14ac:dyDescent="0.3">
      <c r="A333" s="394"/>
      <c r="B333" s="472" t="s">
        <v>830</v>
      </c>
      <c r="C333" s="472"/>
      <c r="D333" s="472"/>
      <c r="E333" s="472"/>
      <c r="F333" s="472"/>
      <c r="G333" s="472"/>
      <c r="H333" s="472"/>
      <c r="I333" s="472"/>
      <c r="J333" s="472"/>
      <c r="K333" s="472"/>
      <c r="L333" s="398"/>
      <c r="M333" s="398"/>
      <c r="N333" s="398"/>
      <c r="O333" s="398"/>
      <c r="P333" s="398"/>
      <c r="Q333" s="380"/>
      <c r="R333" s="380"/>
      <c r="S333" s="380"/>
      <c r="T333" s="381"/>
      <c r="U333" s="357"/>
      <c r="V333" s="357"/>
      <c r="W333" s="357"/>
      <c r="X333" s="357"/>
      <c r="Y333" s="357"/>
      <c r="Z333" s="357"/>
      <c r="AA333" s="357"/>
      <c r="AB333" s="357"/>
    </row>
    <row r="334" spans="1:28" s="273" customFormat="1" x14ac:dyDescent="0.3">
      <c r="A334" s="377"/>
      <c r="B334" s="472">
        <v>3</v>
      </c>
      <c r="C334" s="472"/>
      <c r="D334" s="472"/>
      <c r="E334" s="472"/>
      <c r="F334" s="472"/>
      <c r="G334" s="472"/>
      <c r="H334" s="472"/>
      <c r="I334" s="472"/>
      <c r="J334" s="384"/>
      <c r="K334" s="273" t="s">
        <v>20</v>
      </c>
      <c r="L334" s="379">
        <f>SUM(L335)</f>
        <v>16703.91</v>
      </c>
      <c r="M334" s="379">
        <f>SUM(M335)</f>
        <v>36872.57</v>
      </c>
      <c r="N334" s="379">
        <f>SUM(N335)</f>
        <v>20000</v>
      </c>
      <c r="O334" s="379">
        <f>SUM(O335)</f>
        <v>48000</v>
      </c>
      <c r="P334" s="379">
        <f>SUM(P335)</f>
        <v>36872.57</v>
      </c>
      <c r="Q334" s="380">
        <f t="shared" ref="Q334:Q342" si="68">IFERROR(SUM(P334/L334),0)</f>
        <v>2.2074214959252054</v>
      </c>
      <c r="R334" s="380">
        <f t="shared" ref="R334:R342" si="69">IFERROR(SUM(P334/M334),0)</f>
        <v>1</v>
      </c>
      <c r="S334" s="380">
        <f t="shared" ref="S334:S342" si="70">IFERROR(SUM(P334/O334),0)</f>
        <v>0.76817854166666666</v>
      </c>
      <c r="T334" s="381"/>
      <c r="U334" s="383"/>
      <c r="V334" s="383"/>
      <c r="W334" s="383"/>
      <c r="X334" s="383"/>
      <c r="Y334" s="383"/>
      <c r="Z334" s="383"/>
      <c r="AA334" s="383"/>
      <c r="AB334" s="383"/>
    </row>
    <row r="335" spans="1:28" s="322" customFormat="1" x14ac:dyDescent="0.3">
      <c r="A335" s="394"/>
      <c r="B335" s="472">
        <v>37</v>
      </c>
      <c r="C335" s="472"/>
      <c r="D335" s="472"/>
      <c r="E335" s="472"/>
      <c r="F335" s="472"/>
      <c r="G335" s="472"/>
      <c r="H335" s="472"/>
      <c r="I335" s="472"/>
      <c r="J335" s="395"/>
      <c r="K335" s="273" t="s">
        <v>21</v>
      </c>
      <c r="L335" s="379">
        <f>SUM(L336:L337)</f>
        <v>16703.91</v>
      </c>
      <c r="M335" s="379">
        <f>SUM(M336:M337)</f>
        <v>36872.57</v>
      </c>
      <c r="N335" s="379">
        <f>SUM(N336:N337)</f>
        <v>20000</v>
      </c>
      <c r="O335" s="379">
        <f>SUM(O336:O337)</f>
        <v>48000</v>
      </c>
      <c r="P335" s="379">
        <f>SUM(P336:P337)</f>
        <v>36872.57</v>
      </c>
      <c r="Q335" s="380">
        <f t="shared" si="68"/>
        <v>2.2074214959252054</v>
      </c>
      <c r="R335" s="380">
        <f t="shared" si="69"/>
        <v>1</v>
      </c>
      <c r="S335" s="380">
        <f t="shared" si="70"/>
        <v>0.76817854166666666</v>
      </c>
      <c r="T335" s="381"/>
      <c r="U335" s="357"/>
      <c r="V335" s="357"/>
      <c r="W335" s="357"/>
      <c r="X335" s="357"/>
      <c r="Y335" s="357"/>
      <c r="Z335" s="357"/>
      <c r="AA335" s="357"/>
      <c r="AB335" s="357"/>
    </row>
    <row r="336" spans="1:28" s="336" customFormat="1" x14ac:dyDescent="0.3">
      <c r="A336" s="386">
        <v>138</v>
      </c>
      <c r="B336" s="471">
        <v>372</v>
      </c>
      <c r="C336" s="471"/>
      <c r="D336" s="471"/>
      <c r="E336" s="471"/>
      <c r="F336" s="471"/>
      <c r="G336" s="471"/>
      <c r="H336" s="471"/>
      <c r="I336" s="471"/>
      <c r="J336" s="388" t="s">
        <v>518</v>
      </c>
      <c r="K336" s="405" t="s">
        <v>403</v>
      </c>
      <c r="L336" s="389">
        <f>SUM('RASHODI ZA VIJEĆE'!E263)</f>
        <v>16637.55</v>
      </c>
      <c r="M336" s="389">
        <f>SUM('RASHODI ZA VIJEĆE'!F263)</f>
        <v>24556.21</v>
      </c>
      <c r="N336" s="389">
        <f>SUM('RASHODI ZA VIJEĆE'!G263)</f>
        <v>20000</v>
      </c>
      <c r="O336" s="389">
        <f>SUM('RASHODI ZA VIJEĆE'!H263)</f>
        <v>27000</v>
      </c>
      <c r="P336" s="389">
        <f>SUM('RASHODI ZA VIJEĆE'!I263)</f>
        <v>24556.21</v>
      </c>
      <c r="Q336" s="390">
        <f t="shared" si="68"/>
        <v>1.4759510865481997</v>
      </c>
      <c r="R336" s="390">
        <f t="shared" si="69"/>
        <v>1</v>
      </c>
      <c r="S336" s="390">
        <f t="shared" si="70"/>
        <v>0.90948925925925928</v>
      </c>
      <c r="T336" s="406">
        <v>247</v>
      </c>
      <c r="U336" s="392"/>
      <c r="V336" s="392"/>
      <c r="W336" s="392"/>
      <c r="X336" s="392"/>
      <c r="Y336" s="392"/>
      <c r="Z336" s="392"/>
      <c r="AA336" s="392"/>
      <c r="AB336" s="392"/>
    </row>
    <row r="337" spans="1:28" s="336" customFormat="1" x14ac:dyDescent="0.3">
      <c r="A337" s="386"/>
      <c r="B337" s="471">
        <v>372</v>
      </c>
      <c r="C337" s="471"/>
      <c r="D337" s="471"/>
      <c r="E337" s="471"/>
      <c r="F337" s="471"/>
      <c r="G337" s="471"/>
      <c r="H337" s="471"/>
      <c r="I337" s="471"/>
      <c r="J337" s="388" t="s">
        <v>518</v>
      </c>
      <c r="K337" s="405" t="s">
        <v>994</v>
      </c>
      <c r="L337" s="389">
        <f>SUM('RASHODI ZA VIJEĆE'!E244)</f>
        <v>66.36</v>
      </c>
      <c r="M337" s="389">
        <f>SUM('RASHODI ZA VIJEĆE'!F244)</f>
        <v>12316.36</v>
      </c>
      <c r="N337" s="389">
        <f>SUM('RASHODI ZA VIJEĆE'!G244)</f>
        <v>0</v>
      </c>
      <c r="O337" s="389">
        <f>SUM('RASHODI ZA VIJEĆE'!H244)</f>
        <v>21000</v>
      </c>
      <c r="P337" s="389">
        <f>SUM('RASHODI ZA VIJEĆE'!I244)</f>
        <v>12316.36</v>
      </c>
      <c r="Q337" s="390">
        <f t="shared" si="68"/>
        <v>185.59915611814347</v>
      </c>
      <c r="R337" s="390">
        <f t="shared" si="69"/>
        <v>1</v>
      </c>
      <c r="S337" s="390">
        <f t="shared" si="70"/>
        <v>0.58649333333333331</v>
      </c>
      <c r="T337" s="406"/>
      <c r="U337" s="392"/>
      <c r="V337" s="392"/>
      <c r="W337" s="392"/>
      <c r="X337" s="392"/>
      <c r="Y337" s="392"/>
      <c r="Z337" s="392"/>
      <c r="AA337" s="392"/>
      <c r="AB337" s="392"/>
    </row>
    <row r="338" spans="1:28" s="273" customFormat="1" x14ac:dyDescent="0.3">
      <c r="A338" s="377"/>
      <c r="B338" s="472">
        <v>32</v>
      </c>
      <c r="C338" s="472"/>
      <c r="D338" s="472"/>
      <c r="E338" s="472"/>
      <c r="F338" s="472"/>
      <c r="G338" s="472"/>
      <c r="H338" s="472"/>
      <c r="I338" s="472"/>
      <c r="J338" s="378"/>
      <c r="K338" s="273" t="s">
        <v>3</v>
      </c>
      <c r="L338" s="379">
        <f>SUM(L339)</f>
        <v>0</v>
      </c>
      <c r="M338" s="379">
        <f>SUM(M339)</f>
        <v>702</v>
      </c>
      <c r="N338" s="379">
        <f>SUM(N339)</f>
        <v>0</v>
      </c>
      <c r="O338" s="379">
        <f>SUM(O339)</f>
        <v>1200</v>
      </c>
      <c r="P338" s="379">
        <f>SUM(P339)</f>
        <v>702</v>
      </c>
      <c r="Q338" s="380">
        <f t="shared" si="68"/>
        <v>0</v>
      </c>
      <c r="R338" s="380">
        <f t="shared" si="69"/>
        <v>1</v>
      </c>
      <c r="S338" s="380">
        <f t="shared" si="70"/>
        <v>0.58499999999999996</v>
      </c>
      <c r="T338" s="381"/>
      <c r="U338" s="383"/>
      <c r="V338" s="383"/>
      <c r="W338" s="383"/>
      <c r="X338" s="383"/>
      <c r="Y338" s="383"/>
      <c r="Z338" s="383"/>
      <c r="AA338" s="383"/>
      <c r="AB338" s="383"/>
    </row>
    <row r="339" spans="1:28" s="336" customFormat="1" x14ac:dyDescent="0.3">
      <c r="A339" s="386">
        <v>139</v>
      </c>
      <c r="B339" s="471">
        <v>322</v>
      </c>
      <c r="C339" s="471"/>
      <c r="D339" s="471"/>
      <c r="E339" s="471"/>
      <c r="F339" s="471"/>
      <c r="G339" s="471"/>
      <c r="H339" s="471"/>
      <c r="I339" s="471"/>
      <c r="J339" s="388" t="s">
        <v>518</v>
      </c>
      <c r="K339" s="405" t="s">
        <v>973</v>
      </c>
      <c r="L339" s="389">
        <f>SUM('RASHODI ZA VIJEĆE'!E74)</f>
        <v>0</v>
      </c>
      <c r="M339" s="389">
        <f>SUM('RASHODI ZA VIJEĆE'!F74)</f>
        <v>702</v>
      </c>
      <c r="N339" s="389">
        <f>SUM('RASHODI ZA VIJEĆE'!G74)</f>
        <v>0</v>
      </c>
      <c r="O339" s="389">
        <f>SUM('RASHODI ZA VIJEĆE'!H74)</f>
        <v>1200</v>
      </c>
      <c r="P339" s="389">
        <f>SUM('RASHODI ZA VIJEĆE'!I74)</f>
        <v>702</v>
      </c>
      <c r="Q339" s="390">
        <f t="shared" si="68"/>
        <v>0</v>
      </c>
      <c r="R339" s="390">
        <f t="shared" si="69"/>
        <v>1</v>
      </c>
      <c r="S339" s="390">
        <f t="shared" si="70"/>
        <v>0.58499999999999996</v>
      </c>
      <c r="T339" s="406"/>
      <c r="U339" s="392"/>
      <c r="V339" s="392"/>
      <c r="W339" s="392"/>
      <c r="X339" s="392"/>
      <c r="Y339" s="392"/>
      <c r="Z339" s="392"/>
      <c r="AA339" s="392"/>
      <c r="AB339" s="392"/>
    </row>
    <row r="340" spans="1:28" s="336" customFormat="1" x14ac:dyDescent="0.3">
      <c r="A340" s="386"/>
      <c r="B340" s="387"/>
      <c r="C340" s="387"/>
      <c r="D340" s="387"/>
      <c r="E340" s="387"/>
      <c r="F340" s="387"/>
      <c r="G340" s="387"/>
      <c r="H340" s="387"/>
      <c r="I340" s="387"/>
      <c r="J340" s="388"/>
      <c r="K340" s="405"/>
      <c r="L340" s="389"/>
      <c r="M340" s="389"/>
      <c r="N340" s="389"/>
      <c r="O340" s="389"/>
      <c r="P340" s="389"/>
      <c r="Q340" s="390">
        <f t="shared" si="68"/>
        <v>0</v>
      </c>
      <c r="R340" s="390">
        <f t="shared" si="69"/>
        <v>0</v>
      </c>
      <c r="S340" s="390">
        <f t="shared" si="70"/>
        <v>0</v>
      </c>
      <c r="T340" s="406"/>
      <c r="U340" s="392"/>
      <c r="V340" s="392"/>
      <c r="W340" s="392"/>
      <c r="X340" s="392"/>
      <c r="Y340" s="392"/>
      <c r="Z340" s="392"/>
      <c r="AA340" s="392"/>
      <c r="AB340" s="392"/>
    </row>
    <row r="341" spans="1:28" s="374" customFormat="1" ht="21" thickBot="1" x14ac:dyDescent="0.35">
      <c r="A341" s="400"/>
      <c r="B341" s="355"/>
      <c r="C341" s="355"/>
      <c r="D341" s="355"/>
      <c r="E341" s="355"/>
      <c r="F341" s="355"/>
      <c r="G341" s="355"/>
      <c r="H341" s="355"/>
      <c r="I341" s="355" t="s">
        <v>827</v>
      </c>
      <c r="J341" s="401"/>
      <c r="K341" s="355"/>
      <c r="L341" s="403">
        <f>SUM(L342)</f>
        <v>142912.26999999999</v>
      </c>
      <c r="M341" s="403">
        <f>SUM(M342)</f>
        <v>291985.69</v>
      </c>
      <c r="N341" s="403">
        <f>SUM(N342)</f>
        <v>320000</v>
      </c>
      <c r="O341" s="403">
        <f>SUM(O342)</f>
        <v>342500</v>
      </c>
      <c r="P341" s="403">
        <f>SUM(P342)</f>
        <v>291985.69</v>
      </c>
      <c r="Q341" s="404">
        <f t="shared" si="68"/>
        <v>2.0431114137365536</v>
      </c>
      <c r="R341" s="404">
        <f t="shared" si="69"/>
        <v>1</v>
      </c>
      <c r="S341" s="404">
        <f t="shared" si="70"/>
        <v>0.85251296350364969</v>
      </c>
      <c r="T341" s="371"/>
      <c r="U341" s="373"/>
      <c r="V341" s="373"/>
      <c r="W341" s="373"/>
      <c r="X341" s="373"/>
      <c r="Y341" s="373"/>
      <c r="Z341" s="373"/>
      <c r="AA341" s="373"/>
      <c r="AB341" s="373"/>
    </row>
    <row r="342" spans="1:28" s="374" customFormat="1" ht="21.75" thickTop="1" thickBot="1" x14ac:dyDescent="0.35">
      <c r="A342" s="368"/>
      <c r="B342" s="376">
        <v>1</v>
      </c>
      <c r="C342" s="376"/>
      <c r="D342" s="376"/>
      <c r="E342" s="376"/>
      <c r="F342" s="376"/>
      <c r="G342" s="376"/>
      <c r="H342" s="376"/>
      <c r="I342" s="360" t="s">
        <v>829</v>
      </c>
      <c r="J342" s="429"/>
      <c r="K342" s="360"/>
      <c r="L342" s="369">
        <f>SUM(L344)</f>
        <v>142912.26999999999</v>
      </c>
      <c r="M342" s="369">
        <f>SUM(M344)</f>
        <v>291985.69</v>
      </c>
      <c r="N342" s="369">
        <f>SUM(N344)</f>
        <v>320000</v>
      </c>
      <c r="O342" s="369">
        <f>SUM(O344)</f>
        <v>342500</v>
      </c>
      <c r="P342" s="369">
        <f>SUM(P344)</f>
        <v>291985.69</v>
      </c>
      <c r="Q342" s="370">
        <f t="shared" si="68"/>
        <v>2.0431114137365536</v>
      </c>
      <c r="R342" s="370">
        <f t="shared" si="69"/>
        <v>1</v>
      </c>
      <c r="S342" s="370">
        <f t="shared" si="70"/>
        <v>0.85251296350364969</v>
      </c>
      <c r="T342" s="375"/>
      <c r="U342" s="373"/>
      <c r="V342" s="373"/>
      <c r="W342" s="373"/>
      <c r="X342" s="373"/>
      <c r="Y342" s="373"/>
      <c r="Z342" s="373"/>
      <c r="AA342" s="373"/>
      <c r="AB342" s="373"/>
    </row>
    <row r="343" spans="1:28" s="322" customFormat="1" ht="21" thickTop="1" x14ac:dyDescent="0.3">
      <c r="A343" s="394"/>
      <c r="B343" s="472" t="s">
        <v>828</v>
      </c>
      <c r="C343" s="472"/>
      <c r="D343" s="472"/>
      <c r="E343" s="472"/>
      <c r="F343" s="472"/>
      <c r="G343" s="472"/>
      <c r="H343" s="472"/>
      <c r="I343" s="472"/>
      <c r="J343" s="472"/>
      <c r="K343" s="472"/>
      <c r="L343" s="379"/>
      <c r="M343" s="379"/>
      <c r="N343" s="379"/>
      <c r="O343" s="379"/>
      <c r="P343" s="379"/>
      <c r="Q343" s="380"/>
      <c r="R343" s="380"/>
      <c r="S343" s="380"/>
      <c r="T343" s="381"/>
      <c r="U343" s="357"/>
      <c r="V343" s="357"/>
      <c r="W343" s="357"/>
      <c r="X343" s="357"/>
      <c r="Y343" s="357"/>
      <c r="Z343" s="357"/>
      <c r="AA343" s="357"/>
      <c r="AB343" s="357"/>
    </row>
    <row r="344" spans="1:28" s="322" customFormat="1" x14ac:dyDescent="0.3">
      <c r="A344" s="394"/>
      <c r="B344" s="472">
        <v>3</v>
      </c>
      <c r="C344" s="472"/>
      <c r="D344" s="472"/>
      <c r="E344" s="472"/>
      <c r="F344" s="472"/>
      <c r="G344" s="472"/>
      <c r="H344" s="472"/>
      <c r="I344" s="472"/>
      <c r="J344" s="395"/>
      <c r="K344" s="273" t="s">
        <v>20</v>
      </c>
      <c r="L344" s="379">
        <f>SUM(L345+L353+L375)</f>
        <v>142912.26999999999</v>
      </c>
      <c r="M344" s="379">
        <f>SUM(M345+M353+M375)</f>
        <v>291985.69</v>
      </c>
      <c r="N344" s="379">
        <f>SUM(N345+N353+N375)</f>
        <v>320000</v>
      </c>
      <c r="O344" s="379">
        <f>SUM(O345+O353+O375)</f>
        <v>342500</v>
      </c>
      <c r="P344" s="379">
        <f>SUM(P345+P353+P375)</f>
        <v>291985.69</v>
      </c>
      <c r="Q344" s="380">
        <f t="shared" ref="Q344:Q376" si="71">IFERROR(SUM(P344/L344),0)</f>
        <v>2.0431114137365536</v>
      </c>
      <c r="R344" s="380">
        <f t="shared" ref="R344:R376" si="72">IFERROR(SUM(P344/M344),0)</f>
        <v>1</v>
      </c>
      <c r="S344" s="380">
        <f t="shared" ref="S344:S376" si="73">IFERROR(SUM(P344/O344),0)</f>
        <v>0.85251296350364969</v>
      </c>
      <c r="T344" s="381"/>
      <c r="U344" s="357"/>
      <c r="V344" s="357"/>
      <c r="W344" s="357"/>
      <c r="X344" s="357"/>
      <c r="Y344" s="357"/>
      <c r="Z344" s="357"/>
      <c r="AA344" s="357"/>
      <c r="AB344" s="357"/>
    </row>
    <row r="345" spans="1:28" s="322" customFormat="1" x14ac:dyDescent="0.3">
      <c r="A345" s="394"/>
      <c r="B345" s="472">
        <v>31</v>
      </c>
      <c r="C345" s="472"/>
      <c r="D345" s="472"/>
      <c r="E345" s="472"/>
      <c r="F345" s="472"/>
      <c r="G345" s="472"/>
      <c r="H345" s="472"/>
      <c r="I345" s="472"/>
      <c r="J345" s="395"/>
      <c r="K345" s="273" t="s">
        <v>0</v>
      </c>
      <c r="L345" s="379">
        <f>SUM(L346+L349+L351)</f>
        <v>126045.55</v>
      </c>
      <c r="M345" s="379">
        <f>SUM(M346+M349+M351)</f>
        <v>258558.56000000003</v>
      </c>
      <c r="N345" s="379">
        <f>SUM(N346+N349+N351)</f>
        <v>273000</v>
      </c>
      <c r="O345" s="379">
        <f>SUM(O346+O349+O351)</f>
        <v>288500</v>
      </c>
      <c r="P345" s="379">
        <f>SUM(P346+P349+P351)</f>
        <v>258558.56000000003</v>
      </c>
      <c r="Q345" s="380">
        <f t="shared" si="71"/>
        <v>2.0513104984666257</v>
      </c>
      <c r="R345" s="380">
        <f t="shared" si="72"/>
        <v>1</v>
      </c>
      <c r="S345" s="380">
        <f t="shared" si="73"/>
        <v>0.89621684575389959</v>
      </c>
      <c r="T345" s="381"/>
      <c r="U345" s="357"/>
      <c r="V345" s="357"/>
      <c r="W345" s="357"/>
      <c r="X345" s="357"/>
      <c r="Y345" s="357"/>
      <c r="Z345" s="357"/>
      <c r="AA345" s="357"/>
      <c r="AB345" s="357"/>
    </row>
    <row r="346" spans="1:28" s="322" customFormat="1" x14ac:dyDescent="0.3">
      <c r="A346" s="394"/>
      <c r="B346" s="472">
        <v>311</v>
      </c>
      <c r="C346" s="472"/>
      <c r="D346" s="472"/>
      <c r="E346" s="472"/>
      <c r="F346" s="472"/>
      <c r="G346" s="472"/>
      <c r="H346" s="472"/>
      <c r="I346" s="472"/>
      <c r="J346" s="395"/>
      <c r="K346" s="273" t="s">
        <v>72</v>
      </c>
      <c r="L346" s="379">
        <f>SUM(L347:L348)</f>
        <v>106952.98000000001</v>
      </c>
      <c r="M346" s="379">
        <f>SUM(M347:M348)</f>
        <v>213671.41</v>
      </c>
      <c r="N346" s="379">
        <f>SUM(N347:N348)</f>
        <v>218000</v>
      </c>
      <c r="O346" s="379">
        <f>SUM(O347:O348)</f>
        <v>237000</v>
      </c>
      <c r="P346" s="379">
        <f>SUM(P347:P348)</f>
        <v>213671.41</v>
      </c>
      <c r="Q346" s="380">
        <f t="shared" si="71"/>
        <v>1.9978069802262637</v>
      </c>
      <c r="R346" s="380">
        <f t="shared" si="72"/>
        <v>1</v>
      </c>
      <c r="S346" s="380">
        <f t="shared" si="73"/>
        <v>0.90156713080168782</v>
      </c>
      <c r="T346" s="381"/>
      <c r="U346" s="357"/>
      <c r="V346" s="357"/>
      <c r="W346" s="357"/>
      <c r="X346" s="357"/>
      <c r="Y346" s="357"/>
      <c r="Z346" s="357"/>
      <c r="AA346" s="357"/>
      <c r="AB346" s="357"/>
    </row>
    <row r="347" spans="1:28" s="336" customFormat="1" x14ac:dyDescent="0.3">
      <c r="A347" s="386">
        <v>140</v>
      </c>
      <c r="B347" s="471">
        <v>311</v>
      </c>
      <c r="C347" s="471"/>
      <c r="D347" s="471"/>
      <c r="E347" s="471"/>
      <c r="F347" s="471"/>
      <c r="G347" s="471"/>
      <c r="H347" s="471"/>
      <c r="I347" s="471"/>
      <c r="J347" s="388" t="s">
        <v>518</v>
      </c>
      <c r="K347" s="336" t="s">
        <v>72</v>
      </c>
      <c r="L347" s="389">
        <f>SUM('RASHODI ZA VIJEĆE'!E406+'RASHODI ZA VIJEĆE'!E407)</f>
        <v>106952.98000000001</v>
      </c>
      <c r="M347" s="389">
        <f>SUM('RASHODI ZA VIJEĆE'!F406+'RASHODI ZA VIJEĆE'!F407)</f>
        <v>213671.41</v>
      </c>
      <c r="N347" s="389">
        <f>SUM('RASHODI ZA VIJEĆE'!G406+'RASHODI ZA VIJEĆE'!G407)</f>
        <v>217000</v>
      </c>
      <c r="O347" s="389">
        <f>SUM('RASHODI ZA VIJEĆE'!H406+'RASHODI ZA VIJEĆE'!H407)</f>
        <v>237000</v>
      </c>
      <c r="P347" s="389">
        <f>SUM('RASHODI ZA VIJEĆE'!I406+'RASHODI ZA VIJEĆE'!I407)</f>
        <v>213671.41</v>
      </c>
      <c r="Q347" s="390">
        <f t="shared" si="71"/>
        <v>1.9978069802262637</v>
      </c>
      <c r="R347" s="390">
        <f t="shared" si="72"/>
        <v>1</v>
      </c>
      <c r="S347" s="390">
        <f t="shared" si="73"/>
        <v>0.90156713080168782</v>
      </c>
      <c r="T347" s="406">
        <v>11</v>
      </c>
      <c r="U347" s="392"/>
      <c r="V347" s="392"/>
      <c r="W347" s="392"/>
      <c r="X347" s="392"/>
      <c r="Y347" s="392"/>
      <c r="Z347" s="392"/>
      <c r="AA347" s="392"/>
      <c r="AB347" s="392"/>
    </row>
    <row r="348" spans="1:28" s="336" customFormat="1" x14ac:dyDescent="0.3">
      <c r="A348" s="386">
        <v>141</v>
      </c>
      <c r="B348" s="471">
        <v>311</v>
      </c>
      <c r="C348" s="471"/>
      <c r="D348" s="471"/>
      <c r="E348" s="471"/>
      <c r="F348" s="471"/>
      <c r="G348" s="471"/>
      <c r="H348" s="471"/>
      <c r="I348" s="471"/>
      <c r="J348" s="388" t="s">
        <v>518</v>
      </c>
      <c r="K348" s="336" t="s">
        <v>747</v>
      </c>
      <c r="L348" s="389">
        <f>SUM('RASHODI ZA VIJEĆE'!E409+'RASHODI ZA VIJEĆE'!E412)</f>
        <v>0</v>
      </c>
      <c r="M348" s="389">
        <f>SUM('RASHODI ZA VIJEĆE'!F409+'RASHODI ZA VIJEĆE'!F412)</f>
        <v>0</v>
      </c>
      <c r="N348" s="389">
        <f>SUM('RASHODI ZA VIJEĆE'!G409+'RASHODI ZA VIJEĆE'!G412)</f>
        <v>1000</v>
      </c>
      <c r="O348" s="389">
        <f>SUM('RASHODI ZA VIJEĆE'!H409+'RASHODI ZA VIJEĆE'!H412)</f>
        <v>0</v>
      </c>
      <c r="P348" s="389">
        <f>SUM('RASHODI ZA VIJEĆE'!I409+'RASHODI ZA VIJEĆE'!I412)</f>
        <v>0</v>
      </c>
      <c r="Q348" s="390">
        <f t="shared" si="71"/>
        <v>0</v>
      </c>
      <c r="R348" s="390">
        <f t="shared" si="72"/>
        <v>0</v>
      </c>
      <c r="S348" s="390">
        <f t="shared" si="73"/>
        <v>0</v>
      </c>
      <c r="T348" s="406"/>
      <c r="U348" s="392"/>
      <c r="V348" s="392"/>
      <c r="W348" s="392"/>
      <c r="X348" s="392"/>
      <c r="Y348" s="392"/>
      <c r="Z348" s="392"/>
      <c r="AA348" s="392"/>
      <c r="AB348" s="392"/>
    </row>
    <row r="349" spans="1:28" s="322" customFormat="1" x14ac:dyDescent="0.3">
      <c r="A349" s="394"/>
      <c r="B349" s="472">
        <v>312</v>
      </c>
      <c r="C349" s="472"/>
      <c r="D349" s="472"/>
      <c r="E349" s="472"/>
      <c r="F349" s="472"/>
      <c r="G349" s="472"/>
      <c r="H349" s="472"/>
      <c r="I349" s="472"/>
      <c r="J349" s="395"/>
      <c r="K349" s="273" t="s">
        <v>4</v>
      </c>
      <c r="L349" s="379">
        <f>SUM(L350)</f>
        <v>2948.17</v>
      </c>
      <c r="M349" s="379">
        <f>SUM(M350)</f>
        <v>12416.7</v>
      </c>
      <c r="N349" s="379">
        <f>SUM(N350)</f>
        <v>14500</v>
      </c>
      <c r="O349" s="379">
        <f>SUM(O350)</f>
        <v>14500</v>
      </c>
      <c r="P349" s="379">
        <f>SUM(P350)</f>
        <v>12416.7</v>
      </c>
      <c r="Q349" s="380">
        <f t="shared" si="71"/>
        <v>4.2116635065142107</v>
      </c>
      <c r="R349" s="380">
        <f t="shared" si="72"/>
        <v>1</v>
      </c>
      <c r="S349" s="380">
        <f t="shared" si="73"/>
        <v>0.85632413793103457</v>
      </c>
      <c r="T349" s="381"/>
      <c r="U349" s="357"/>
      <c r="V349" s="357"/>
      <c r="W349" s="357"/>
      <c r="X349" s="357"/>
      <c r="Y349" s="357"/>
      <c r="Z349" s="357"/>
      <c r="AA349" s="357"/>
      <c r="AB349" s="357"/>
    </row>
    <row r="350" spans="1:28" s="336" customFormat="1" x14ac:dyDescent="0.3">
      <c r="A350" s="386">
        <v>142</v>
      </c>
      <c r="B350" s="471">
        <v>312</v>
      </c>
      <c r="C350" s="471"/>
      <c r="D350" s="471"/>
      <c r="E350" s="471"/>
      <c r="F350" s="471"/>
      <c r="G350" s="471"/>
      <c r="H350" s="471"/>
      <c r="I350" s="471"/>
      <c r="J350" s="388" t="s">
        <v>518</v>
      </c>
      <c r="K350" s="336" t="s">
        <v>4</v>
      </c>
      <c r="L350" s="389">
        <f>SUM('RASHODI ZA VIJEĆE'!E413+'RASHODI ZA VIJEĆE'!E414+'RASHODI ZA VIJEĆE'!E415+'RASHODI ZA VIJEĆE'!E416+'RASHODI ZA VIJEĆE'!E417)</f>
        <v>2948.17</v>
      </c>
      <c r="M350" s="389">
        <f>SUM('RASHODI ZA VIJEĆE'!F413+'RASHODI ZA VIJEĆE'!F414+'RASHODI ZA VIJEĆE'!F415+'RASHODI ZA VIJEĆE'!F416+'RASHODI ZA VIJEĆE'!F417)</f>
        <v>12416.7</v>
      </c>
      <c r="N350" s="389">
        <f>SUM('RASHODI ZA VIJEĆE'!G413+'RASHODI ZA VIJEĆE'!G414+'RASHODI ZA VIJEĆE'!G415+'RASHODI ZA VIJEĆE'!G416+'RASHODI ZA VIJEĆE'!G417)</f>
        <v>14500</v>
      </c>
      <c r="O350" s="389">
        <f>SUM('RASHODI ZA VIJEĆE'!H413+'RASHODI ZA VIJEĆE'!H414+'RASHODI ZA VIJEĆE'!H415+'RASHODI ZA VIJEĆE'!H416+'RASHODI ZA VIJEĆE'!H417)</f>
        <v>14500</v>
      </c>
      <c r="P350" s="389">
        <f>SUM('RASHODI ZA VIJEĆE'!I413+'RASHODI ZA VIJEĆE'!I414+'RASHODI ZA VIJEĆE'!I415+'RASHODI ZA VIJEĆE'!I416+'RASHODI ZA VIJEĆE'!I417)</f>
        <v>12416.7</v>
      </c>
      <c r="Q350" s="390">
        <f t="shared" si="71"/>
        <v>4.2116635065142107</v>
      </c>
      <c r="R350" s="390">
        <f t="shared" si="72"/>
        <v>1</v>
      </c>
      <c r="S350" s="390">
        <f t="shared" si="73"/>
        <v>0.85632413793103457</v>
      </c>
      <c r="T350" s="406">
        <v>19</v>
      </c>
      <c r="U350" s="392"/>
      <c r="V350" s="392"/>
      <c r="W350" s="392"/>
      <c r="X350" s="392"/>
      <c r="Y350" s="392"/>
      <c r="Z350" s="392"/>
      <c r="AA350" s="392"/>
      <c r="AB350" s="392"/>
    </row>
    <row r="351" spans="1:28" s="322" customFormat="1" x14ac:dyDescent="0.3">
      <c r="A351" s="394"/>
      <c r="B351" s="472">
        <v>313</v>
      </c>
      <c r="C351" s="472"/>
      <c r="D351" s="472"/>
      <c r="E351" s="472"/>
      <c r="F351" s="472"/>
      <c r="G351" s="472"/>
      <c r="H351" s="472"/>
      <c r="I351" s="472"/>
      <c r="J351" s="395"/>
      <c r="K351" s="273" t="s">
        <v>112</v>
      </c>
      <c r="L351" s="379">
        <f>SUM(L352)</f>
        <v>16144.4</v>
      </c>
      <c r="M351" s="379">
        <f>SUM(M352)</f>
        <v>32470.45</v>
      </c>
      <c r="N351" s="379">
        <f>SUM(N352)</f>
        <v>40500</v>
      </c>
      <c r="O351" s="379">
        <f>SUM(O352)</f>
        <v>37000</v>
      </c>
      <c r="P351" s="379">
        <f>SUM(P352)</f>
        <v>32470.45</v>
      </c>
      <c r="Q351" s="380">
        <f t="shared" si="71"/>
        <v>2.0112515794950574</v>
      </c>
      <c r="R351" s="380">
        <f t="shared" si="72"/>
        <v>1</v>
      </c>
      <c r="S351" s="380">
        <f t="shared" si="73"/>
        <v>0.87757972972972975</v>
      </c>
      <c r="T351" s="381"/>
      <c r="U351" s="357"/>
      <c r="V351" s="357"/>
      <c r="W351" s="357"/>
      <c r="X351" s="357"/>
      <c r="Y351" s="357"/>
      <c r="Z351" s="357"/>
      <c r="AA351" s="357"/>
      <c r="AB351" s="357"/>
    </row>
    <row r="352" spans="1:28" s="336" customFormat="1" x14ac:dyDescent="0.3">
      <c r="A352" s="386">
        <v>143</v>
      </c>
      <c r="B352" s="471">
        <v>313</v>
      </c>
      <c r="C352" s="471"/>
      <c r="D352" s="471"/>
      <c r="E352" s="471"/>
      <c r="F352" s="471"/>
      <c r="G352" s="471"/>
      <c r="H352" s="471"/>
      <c r="I352" s="471"/>
      <c r="J352" s="388" t="s">
        <v>518</v>
      </c>
      <c r="K352" s="336" t="s">
        <v>71</v>
      </c>
      <c r="L352" s="389">
        <f>SUM('RASHODI ZA VIJEĆE'!E419+'RASHODI ZA VIJEĆE'!E420)</f>
        <v>16144.4</v>
      </c>
      <c r="M352" s="389">
        <f>SUM('RASHODI ZA VIJEĆE'!F419+'RASHODI ZA VIJEĆE'!F420)</f>
        <v>32470.45</v>
      </c>
      <c r="N352" s="389">
        <f>SUM('RASHODI ZA VIJEĆE'!G419+'RASHODI ZA VIJEĆE'!G420)</f>
        <v>40500</v>
      </c>
      <c r="O352" s="389">
        <f>SUM('RASHODI ZA VIJEĆE'!H419+'RASHODI ZA VIJEĆE'!H420)</f>
        <v>37000</v>
      </c>
      <c r="P352" s="389">
        <f>SUM('RASHODI ZA VIJEĆE'!I419+'RASHODI ZA VIJEĆE'!I420)</f>
        <v>32470.45</v>
      </c>
      <c r="Q352" s="390">
        <f t="shared" si="71"/>
        <v>2.0112515794950574</v>
      </c>
      <c r="R352" s="390">
        <f t="shared" si="72"/>
        <v>1</v>
      </c>
      <c r="S352" s="390">
        <f t="shared" si="73"/>
        <v>0.87757972972972975</v>
      </c>
      <c r="T352" s="406">
        <v>37</v>
      </c>
      <c r="U352" s="392"/>
      <c r="V352" s="392"/>
      <c r="W352" s="392"/>
      <c r="X352" s="392"/>
      <c r="Y352" s="392"/>
      <c r="Z352" s="392"/>
      <c r="AA352" s="392"/>
      <c r="AB352" s="392"/>
    </row>
    <row r="353" spans="1:28" s="322" customFormat="1" x14ac:dyDescent="0.3">
      <c r="A353" s="394"/>
      <c r="B353" s="472">
        <v>32</v>
      </c>
      <c r="C353" s="472"/>
      <c r="D353" s="472"/>
      <c r="E353" s="472"/>
      <c r="F353" s="472"/>
      <c r="G353" s="472"/>
      <c r="H353" s="472"/>
      <c r="I353" s="472"/>
      <c r="J353" s="395"/>
      <c r="K353" s="273" t="s">
        <v>3</v>
      </c>
      <c r="L353" s="379">
        <f>SUM(L354+L358+L363+L372)</f>
        <v>16212.730000000003</v>
      </c>
      <c r="M353" s="379">
        <f>SUM(M354+M358+M363+M372)</f>
        <v>32113.38</v>
      </c>
      <c r="N353" s="379">
        <f>SUM(N354+N358+N363+N372)</f>
        <v>45000</v>
      </c>
      <c r="O353" s="379">
        <f>SUM(O354+O358+O363+O372)</f>
        <v>52000</v>
      </c>
      <c r="P353" s="379">
        <f>SUM(P354+P358+P363+P372)</f>
        <v>32113.38</v>
      </c>
      <c r="Q353" s="380">
        <f t="shared" si="71"/>
        <v>1.9807509284370981</v>
      </c>
      <c r="R353" s="380">
        <f t="shared" si="72"/>
        <v>1</v>
      </c>
      <c r="S353" s="380">
        <f t="shared" si="73"/>
        <v>0.61756500000000003</v>
      </c>
      <c r="T353" s="381"/>
      <c r="U353" s="357"/>
      <c r="V353" s="357"/>
      <c r="W353" s="357"/>
      <c r="X353" s="357"/>
      <c r="Y353" s="357"/>
      <c r="Z353" s="357"/>
      <c r="AA353" s="357"/>
      <c r="AB353" s="357"/>
    </row>
    <row r="354" spans="1:28" s="322" customFormat="1" x14ac:dyDescent="0.3">
      <c r="A354" s="394"/>
      <c r="B354" s="472">
        <v>321</v>
      </c>
      <c r="C354" s="472"/>
      <c r="D354" s="472"/>
      <c r="E354" s="472"/>
      <c r="F354" s="472"/>
      <c r="G354" s="472"/>
      <c r="H354" s="472"/>
      <c r="I354" s="472"/>
      <c r="J354" s="395"/>
      <c r="K354" s="273" t="s">
        <v>1</v>
      </c>
      <c r="L354" s="379">
        <f>SUM(L355:L357)</f>
        <v>0</v>
      </c>
      <c r="M354" s="379">
        <f>SUM(M355:M357)</f>
        <v>95</v>
      </c>
      <c r="N354" s="379">
        <f>SUM(N355:N357)</f>
        <v>1000</v>
      </c>
      <c r="O354" s="379">
        <f>SUM(O355:O357)</f>
        <v>500</v>
      </c>
      <c r="P354" s="379">
        <f>SUM(P355:P357)</f>
        <v>95</v>
      </c>
      <c r="Q354" s="380">
        <f t="shared" si="71"/>
        <v>0</v>
      </c>
      <c r="R354" s="380">
        <f t="shared" si="72"/>
        <v>1</v>
      </c>
      <c r="S354" s="380">
        <f t="shared" si="73"/>
        <v>0.19</v>
      </c>
      <c r="T354" s="381"/>
      <c r="U354" s="357"/>
      <c r="V354" s="357"/>
      <c r="W354" s="357"/>
      <c r="X354" s="357"/>
      <c r="Y354" s="357"/>
      <c r="Z354" s="357"/>
      <c r="AA354" s="357"/>
      <c r="AB354" s="357"/>
    </row>
    <row r="355" spans="1:28" s="336" customFormat="1" x14ac:dyDescent="0.3">
      <c r="A355" s="386">
        <v>144</v>
      </c>
      <c r="B355" s="471">
        <v>321</v>
      </c>
      <c r="C355" s="471"/>
      <c r="D355" s="471"/>
      <c r="E355" s="471"/>
      <c r="F355" s="471"/>
      <c r="G355" s="471"/>
      <c r="H355" s="471"/>
      <c r="I355" s="471"/>
      <c r="J355" s="388" t="s">
        <v>518</v>
      </c>
      <c r="K355" s="405" t="s">
        <v>451</v>
      </c>
      <c r="L355" s="389">
        <f>SUM('RASHODI ZA VIJEĆE'!E431)</f>
        <v>0</v>
      </c>
      <c r="M355" s="389">
        <f>SUM('RASHODI ZA VIJEĆE'!F431)</f>
        <v>0</v>
      </c>
      <c r="N355" s="389">
        <f>SUM('RASHODI ZA VIJEĆE'!G431)</f>
        <v>500</v>
      </c>
      <c r="O355" s="389">
        <f>SUM('RASHODI ZA VIJEĆE'!H431)</f>
        <v>0</v>
      </c>
      <c r="P355" s="389">
        <f>SUM('RASHODI ZA VIJEĆE'!I431)</f>
        <v>0</v>
      </c>
      <c r="Q355" s="390">
        <f t="shared" si="71"/>
        <v>0</v>
      </c>
      <c r="R355" s="390">
        <f t="shared" si="72"/>
        <v>0</v>
      </c>
      <c r="S355" s="390">
        <f t="shared" si="73"/>
        <v>0</v>
      </c>
      <c r="T355" s="406">
        <v>52</v>
      </c>
      <c r="U355" s="392"/>
      <c r="V355" s="392"/>
      <c r="W355" s="392"/>
      <c r="X355" s="392"/>
      <c r="Y355" s="392"/>
      <c r="Z355" s="392"/>
      <c r="AA355" s="392"/>
      <c r="AB355" s="392"/>
    </row>
    <row r="356" spans="1:28" s="336" customFormat="1" x14ac:dyDescent="0.3">
      <c r="A356" s="386">
        <v>145</v>
      </c>
      <c r="B356" s="471">
        <v>321</v>
      </c>
      <c r="C356" s="471"/>
      <c r="D356" s="471"/>
      <c r="E356" s="471"/>
      <c r="F356" s="471"/>
      <c r="G356" s="471"/>
      <c r="H356" s="471"/>
      <c r="I356" s="471"/>
      <c r="J356" s="388" t="s">
        <v>518</v>
      </c>
      <c r="K356" s="336" t="s">
        <v>75</v>
      </c>
      <c r="L356" s="389">
        <f>SUM('RASHODI ZA VIJEĆE'!E429)</f>
        <v>0</v>
      </c>
      <c r="M356" s="389">
        <f>SUM('RASHODI ZA VIJEĆE'!F429)</f>
        <v>95</v>
      </c>
      <c r="N356" s="389">
        <f>SUM('RASHODI ZA VIJEĆE'!G429)</f>
        <v>500</v>
      </c>
      <c r="O356" s="389">
        <f>SUM('RASHODI ZA VIJEĆE'!H429)</f>
        <v>500</v>
      </c>
      <c r="P356" s="389">
        <f>SUM('RASHODI ZA VIJEĆE'!I429)</f>
        <v>95</v>
      </c>
      <c r="Q356" s="390">
        <f t="shared" si="71"/>
        <v>0</v>
      </c>
      <c r="R356" s="390">
        <f t="shared" si="72"/>
        <v>1</v>
      </c>
      <c r="S356" s="390">
        <f t="shared" si="73"/>
        <v>0.19</v>
      </c>
      <c r="T356" s="406">
        <v>55</v>
      </c>
      <c r="U356" s="392"/>
      <c r="V356" s="392"/>
      <c r="W356" s="392"/>
      <c r="X356" s="392"/>
      <c r="Y356" s="392"/>
      <c r="Z356" s="392"/>
      <c r="AA356" s="392"/>
      <c r="AB356" s="392"/>
    </row>
    <row r="357" spans="1:28" s="336" customFormat="1" x14ac:dyDescent="0.3">
      <c r="A357" s="386">
        <v>146</v>
      </c>
      <c r="B357" s="471">
        <v>321</v>
      </c>
      <c r="C357" s="471"/>
      <c r="D357" s="471"/>
      <c r="E357" s="471"/>
      <c r="F357" s="471"/>
      <c r="G357" s="471"/>
      <c r="H357" s="471"/>
      <c r="I357" s="471"/>
      <c r="J357" s="388" t="s">
        <v>518</v>
      </c>
      <c r="K357" s="336" t="s">
        <v>844</v>
      </c>
      <c r="L357" s="389">
        <f>SUM('RASHODI ZA VIJEĆE'!E427)</f>
        <v>0</v>
      </c>
      <c r="M357" s="389">
        <f>SUM('RASHODI ZA VIJEĆE'!F427)</f>
        <v>0</v>
      </c>
      <c r="N357" s="389">
        <f>SUM('RASHODI ZA VIJEĆE'!G427)</f>
        <v>0</v>
      </c>
      <c r="O357" s="389">
        <f>SUM('RASHODI ZA VIJEĆE'!H427)</f>
        <v>0</v>
      </c>
      <c r="P357" s="389">
        <f>SUM('RASHODI ZA VIJEĆE'!I427)</f>
        <v>0</v>
      </c>
      <c r="Q357" s="390">
        <f t="shared" si="71"/>
        <v>0</v>
      </c>
      <c r="R357" s="390">
        <f t="shared" si="72"/>
        <v>0</v>
      </c>
      <c r="S357" s="390">
        <f t="shared" si="73"/>
        <v>0</v>
      </c>
      <c r="T357" s="406"/>
      <c r="U357" s="392"/>
      <c r="V357" s="392"/>
      <c r="W357" s="392"/>
      <c r="X357" s="392"/>
      <c r="Y357" s="392"/>
      <c r="Z357" s="392"/>
      <c r="AA357" s="392"/>
      <c r="AB357" s="392"/>
    </row>
    <row r="358" spans="1:28" s="322" customFormat="1" x14ac:dyDescent="0.3">
      <c r="A358" s="394"/>
      <c r="B358" s="472">
        <v>322</v>
      </c>
      <c r="C358" s="472"/>
      <c r="D358" s="472"/>
      <c r="E358" s="472"/>
      <c r="F358" s="472"/>
      <c r="G358" s="472"/>
      <c r="H358" s="472"/>
      <c r="I358" s="472"/>
      <c r="J358" s="395"/>
      <c r="K358" s="273" t="s">
        <v>6</v>
      </c>
      <c r="L358" s="379">
        <f>SUM(L359:L362)</f>
        <v>11771.150000000001</v>
      </c>
      <c r="M358" s="379">
        <f>SUM(M359:M362)</f>
        <v>22871.81</v>
      </c>
      <c r="N358" s="379">
        <f>SUM(N359:N362)</f>
        <v>31000</v>
      </c>
      <c r="O358" s="379">
        <f>SUM(O359:O362)</f>
        <v>36000</v>
      </c>
      <c r="P358" s="379">
        <f>SUM(P359:P362)</f>
        <v>22871.81</v>
      </c>
      <c r="Q358" s="380">
        <f t="shared" si="71"/>
        <v>1.9430395500864399</v>
      </c>
      <c r="R358" s="380">
        <f t="shared" si="72"/>
        <v>1</v>
      </c>
      <c r="S358" s="380">
        <f t="shared" si="73"/>
        <v>0.6353280555555556</v>
      </c>
      <c r="T358" s="381"/>
      <c r="U358" s="357"/>
      <c r="V358" s="357"/>
      <c r="W358" s="357"/>
      <c r="X358" s="357"/>
      <c r="Y358" s="357"/>
      <c r="Z358" s="357"/>
      <c r="AA358" s="357"/>
      <c r="AB358" s="357"/>
    </row>
    <row r="359" spans="1:28" s="336" customFormat="1" x14ac:dyDescent="0.3">
      <c r="A359" s="386">
        <v>147</v>
      </c>
      <c r="B359" s="471">
        <v>322</v>
      </c>
      <c r="C359" s="471"/>
      <c r="D359" s="471"/>
      <c r="E359" s="471"/>
      <c r="F359" s="471"/>
      <c r="G359" s="471"/>
      <c r="H359" s="471"/>
      <c r="I359" s="471"/>
      <c r="J359" s="388" t="s">
        <v>518</v>
      </c>
      <c r="K359" s="336" t="s">
        <v>69</v>
      </c>
      <c r="L359" s="389">
        <f>SUM('RASHODI ZA VIJEĆE'!E434+'RASHODI ZA VIJEĆE'!E435+'RASHODI ZA VIJEĆE'!E436+'RASHODI ZA VIJEĆE'!E437)</f>
        <v>1580.48</v>
      </c>
      <c r="M359" s="389">
        <f>SUM('RASHODI ZA VIJEĆE'!F434+'RASHODI ZA VIJEĆE'!F435+'RASHODI ZA VIJEĆE'!F436+'RASHODI ZA VIJEĆE'!F437)</f>
        <v>2887.03</v>
      </c>
      <c r="N359" s="389">
        <f>SUM('RASHODI ZA VIJEĆE'!G434+'RASHODI ZA VIJEĆE'!G435+'RASHODI ZA VIJEĆE'!G436+'RASHODI ZA VIJEĆE'!G437)</f>
        <v>5000</v>
      </c>
      <c r="O359" s="389">
        <f>SUM('RASHODI ZA VIJEĆE'!H434+'RASHODI ZA VIJEĆE'!H435+'RASHODI ZA VIJEĆE'!H436+'RASHODI ZA VIJEĆE'!H437)</f>
        <v>5000</v>
      </c>
      <c r="P359" s="389">
        <f>SUM('RASHODI ZA VIJEĆE'!I434+'RASHODI ZA VIJEĆE'!I435+'RASHODI ZA VIJEĆE'!I436+'RASHODI ZA VIJEĆE'!I437)</f>
        <v>2887.03</v>
      </c>
      <c r="Q359" s="390">
        <f t="shared" si="71"/>
        <v>1.8266792366875886</v>
      </c>
      <c r="R359" s="390">
        <f t="shared" si="72"/>
        <v>1</v>
      </c>
      <c r="S359" s="390">
        <f t="shared" si="73"/>
        <v>0.57740600000000009</v>
      </c>
      <c r="T359" s="406">
        <v>62</v>
      </c>
      <c r="U359" s="392"/>
      <c r="V359" s="392"/>
      <c r="W359" s="392"/>
      <c r="X359" s="392"/>
      <c r="Y359" s="392"/>
      <c r="Z359" s="392"/>
      <c r="AA359" s="392"/>
      <c r="AB359" s="392"/>
    </row>
    <row r="360" spans="1:28" s="336" customFormat="1" x14ac:dyDescent="0.3">
      <c r="A360" s="386">
        <v>148</v>
      </c>
      <c r="B360" s="471">
        <v>322</v>
      </c>
      <c r="C360" s="471"/>
      <c r="D360" s="471"/>
      <c r="E360" s="471"/>
      <c r="F360" s="471"/>
      <c r="G360" s="471"/>
      <c r="H360" s="471"/>
      <c r="I360" s="471"/>
      <c r="J360" s="388" t="s">
        <v>518</v>
      </c>
      <c r="K360" s="336" t="s">
        <v>452</v>
      </c>
      <c r="L360" s="389">
        <f>SUM('RASHODI ZA VIJEĆE'!E439+'RASHODI ZA VIJEĆE'!E440)</f>
        <v>7810.4800000000005</v>
      </c>
      <c r="M360" s="389">
        <f>SUM('RASHODI ZA VIJEĆE'!F439+'RASHODI ZA VIJEĆE'!F440)</f>
        <v>15244.050000000001</v>
      </c>
      <c r="N360" s="389">
        <f>SUM('RASHODI ZA VIJEĆE'!G439+'RASHODI ZA VIJEĆE'!G440)</f>
        <v>15000</v>
      </c>
      <c r="O360" s="389">
        <f>SUM('RASHODI ZA VIJEĆE'!H439+'RASHODI ZA VIJEĆE'!H440)</f>
        <v>20000</v>
      </c>
      <c r="P360" s="389">
        <f>SUM('RASHODI ZA VIJEĆE'!I439+'RASHODI ZA VIJEĆE'!I440)</f>
        <v>15244.050000000001</v>
      </c>
      <c r="Q360" s="390">
        <f t="shared" si="71"/>
        <v>1.9517430426811158</v>
      </c>
      <c r="R360" s="390">
        <f t="shared" si="72"/>
        <v>1</v>
      </c>
      <c r="S360" s="390">
        <f t="shared" si="73"/>
        <v>0.76220250000000001</v>
      </c>
      <c r="T360" s="406">
        <v>72</v>
      </c>
      <c r="U360" s="392"/>
      <c r="V360" s="392"/>
      <c r="W360" s="392"/>
      <c r="X360" s="392"/>
      <c r="Y360" s="392"/>
      <c r="Z360" s="392"/>
      <c r="AA360" s="392"/>
      <c r="AB360" s="392"/>
    </row>
    <row r="361" spans="1:28" s="336" customFormat="1" x14ac:dyDescent="0.3">
      <c r="A361" s="386">
        <v>149</v>
      </c>
      <c r="B361" s="471">
        <v>322</v>
      </c>
      <c r="C361" s="471"/>
      <c r="D361" s="471"/>
      <c r="E361" s="471"/>
      <c r="F361" s="471"/>
      <c r="G361" s="471"/>
      <c r="H361" s="471"/>
      <c r="I361" s="471"/>
      <c r="J361" s="388" t="s">
        <v>518</v>
      </c>
      <c r="K361" s="336" t="s">
        <v>58</v>
      </c>
      <c r="L361" s="389">
        <f>SUM('RASHODI ZA VIJEĆE'!E442+'RASHODI ZA VIJEĆE'!E443)</f>
        <v>2380.19</v>
      </c>
      <c r="M361" s="389">
        <f>SUM('RASHODI ZA VIJEĆE'!F442+'RASHODI ZA VIJEĆE'!F443)</f>
        <v>4556.17</v>
      </c>
      <c r="N361" s="389">
        <f>SUM('RASHODI ZA VIJEĆE'!G442+'RASHODI ZA VIJEĆE'!G443)</f>
        <v>9000</v>
      </c>
      <c r="O361" s="389">
        <f>SUM('RASHODI ZA VIJEĆE'!H442+'RASHODI ZA VIJEĆE'!H443)</f>
        <v>9000</v>
      </c>
      <c r="P361" s="389">
        <f>SUM('RASHODI ZA VIJEĆE'!I442+'RASHODI ZA VIJEĆE'!I443)</f>
        <v>4556.17</v>
      </c>
      <c r="Q361" s="390">
        <f t="shared" si="71"/>
        <v>1.9142043282258978</v>
      </c>
      <c r="R361" s="390">
        <f t="shared" si="72"/>
        <v>1</v>
      </c>
      <c r="S361" s="390">
        <f t="shared" si="73"/>
        <v>0.50624111111111114</v>
      </c>
      <c r="T361" s="406" t="s">
        <v>490</v>
      </c>
      <c r="U361" s="392"/>
      <c r="V361" s="392"/>
      <c r="W361" s="392"/>
      <c r="X361" s="392"/>
      <c r="Y361" s="392"/>
      <c r="Z361" s="392"/>
      <c r="AA361" s="392"/>
      <c r="AB361" s="392"/>
    </row>
    <row r="362" spans="1:28" s="336" customFormat="1" x14ac:dyDescent="0.3">
      <c r="A362" s="386">
        <v>150</v>
      </c>
      <c r="B362" s="471">
        <v>322</v>
      </c>
      <c r="C362" s="471"/>
      <c r="D362" s="471"/>
      <c r="E362" s="471"/>
      <c r="F362" s="471"/>
      <c r="G362" s="471"/>
      <c r="H362" s="471"/>
      <c r="I362" s="471"/>
      <c r="J362" s="388" t="s">
        <v>518</v>
      </c>
      <c r="K362" s="336" t="s">
        <v>95</v>
      </c>
      <c r="L362" s="389">
        <f>SUM('RASHODI ZA VIJEĆE'!E445+'RASHODI ZA VIJEĆE'!E446+'RASHODI ZA VIJEĆE'!E447)</f>
        <v>0</v>
      </c>
      <c r="M362" s="389">
        <f>SUM('RASHODI ZA VIJEĆE'!F445+'RASHODI ZA VIJEĆE'!F446+'RASHODI ZA VIJEĆE'!F447)</f>
        <v>184.56</v>
      </c>
      <c r="N362" s="389">
        <f>SUM('RASHODI ZA VIJEĆE'!G445+'RASHODI ZA VIJEĆE'!G446+'RASHODI ZA VIJEĆE'!G447)</f>
        <v>2000</v>
      </c>
      <c r="O362" s="389">
        <f>SUM('RASHODI ZA VIJEĆE'!H445+'RASHODI ZA VIJEĆE'!H446+'RASHODI ZA VIJEĆE'!H447)</f>
        <v>2000</v>
      </c>
      <c r="P362" s="389">
        <f>SUM('RASHODI ZA VIJEĆE'!I445+'RASHODI ZA VIJEĆE'!I446+'RASHODI ZA VIJEĆE'!I447)</f>
        <v>184.56</v>
      </c>
      <c r="Q362" s="390">
        <f t="shared" si="71"/>
        <v>0</v>
      </c>
      <c r="R362" s="390">
        <f t="shared" si="72"/>
        <v>1</v>
      </c>
      <c r="S362" s="390">
        <f t="shared" si="73"/>
        <v>9.2280000000000001E-2</v>
      </c>
      <c r="T362" s="406">
        <v>84</v>
      </c>
      <c r="U362" s="392"/>
      <c r="V362" s="392"/>
      <c r="W362" s="392"/>
      <c r="X362" s="392"/>
      <c r="Y362" s="392"/>
      <c r="Z362" s="392"/>
      <c r="AA362" s="392"/>
      <c r="AB362" s="392"/>
    </row>
    <row r="363" spans="1:28" s="322" customFormat="1" x14ac:dyDescent="0.3">
      <c r="A363" s="394"/>
      <c r="B363" s="472">
        <v>323</v>
      </c>
      <c r="C363" s="472"/>
      <c r="D363" s="472"/>
      <c r="E363" s="472"/>
      <c r="F363" s="472"/>
      <c r="G363" s="472"/>
      <c r="H363" s="472"/>
      <c r="I363" s="472"/>
      <c r="J363" s="395"/>
      <c r="K363" s="273" t="s">
        <v>2</v>
      </c>
      <c r="L363" s="379">
        <f>SUM(L364:L371)</f>
        <v>4376.88</v>
      </c>
      <c r="M363" s="379">
        <f>SUM(M364:M371)</f>
        <v>8866.14</v>
      </c>
      <c r="N363" s="379">
        <f>SUM(N364:N371)</f>
        <v>12500</v>
      </c>
      <c r="O363" s="379">
        <f>SUM(O364:O371)</f>
        <v>14500</v>
      </c>
      <c r="P363" s="379">
        <f>SUM(P364:P371)</f>
        <v>8866.14</v>
      </c>
      <c r="Q363" s="380">
        <f t="shared" si="71"/>
        <v>2.0256758238745407</v>
      </c>
      <c r="R363" s="380">
        <f t="shared" si="72"/>
        <v>1</v>
      </c>
      <c r="S363" s="380">
        <f t="shared" si="73"/>
        <v>0.61145793103448276</v>
      </c>
      <c r="T363" s="381"/>
      <c r="U363" s="357"/>
      <c r="V363" s="357"/>
      <c r="W363" s="357"/>
      <c r="X363" s="357"/>
      <c r="Y363" s="357"/>
      <c r="Z363" s="357"/>
      <c r="AA363" s="357"/>
      <c r="AB363" s="357"/>
    </row>
    <row r="364" spans="1:28" s="336" customFormat="1" x14ac:dyDescent="0.3">
      <c r="A364" s="386">
        <v>151</v>
      </c>
      <c r="B364" s="471">
        <v>323</v>
      </c>
      <c r="C364" s="471"/>
      <c r="D364" s="471"/>
      <c r="E364" s="471"/>
      <c r="F364" s="471"/>
      <c r="G364" s="471"/>
      <c r="H364" s="471"/>
      <c r="I364" s="471"/>
      <c r="J364" s="388" t="s">
        <v>518</v>
      </c>
      <c r="K364" s="336" t="s">
        <v>68</v>
      </c>
      <c r="L364" s="389">
        <f>SUM('RASHODI ZA VIJEĆE'!E454+'RASHODI ZA VIJEĆE'!E455)</f>
        <v>116.34</v>
      </c>
      <c r="M364" s="389">
        <f>SUM('RASHODI ZA VIJEĆE'!F454+'RASHODI ZA VIJEĆE'!F455)</f>
        <v>234.98</v>
      </c>
      <c r="N364" s="389">
        <f>SUM('RASHODI ZA VIJEĆE'!G454+'RASHODI ZA VIJEĆE'!G455)</f>
        <v>1000</v>
      </c>
      <c r="O364" s="389">
        <f>SUM('RASHODI ZA VIJEĆE'!H454+'RASHODI ZA VIJEĆE'!H455)</f>
        <v>500</v>
      </c>
      <c r="P364" s="389">
        <f>SUM('RASHODI ZA VIJEĆE'!I454+'RASHODI ZA VIJEĆE'!I455)</f>
        <v>234.98</v>
      </c>
      <c r="Q364" s="390">
        <f t="shared" si="71"/>
        <v>2.0197696407082688</v>
      </c>
      <c r="R364" s="390">
        <f t="shared" si="72"/>
        <v>1</v>
      </c>
      <c r="S364" s="390">
        <f t="shared" si="73"/>
        <v>0.46995999999999999</v>
      </c>
      <c r="T364" s="391">
        <v>95</v>
      </c>
      <c r="U364" s="392"/>
      <c r="V364" s="392"/>
      <c r="W364" s="392"/>
      <c r="X364" s="392"/>
      <c r="Y364" s="392"/>
      <c r="Z364" s="392"/>
      <c r="AA364" s="392"/>
      <c r="AB364" s="392"/>
    </row>
    <row r="365" spans="1:28" s="336" customFormat="1" x14ac:dyDescent="0.3">
      <c r="A365" s="386">
        <v>152</v>
      </c>
      <c r="B365" s="471">
        <v>323</v>
      </c>
      <c r="C365" s="471"/>
      <c r="D365" s="471"/>
      <c r="E365" s="471"/>
      <c r="F365" s="471"/>
      <c r="G365" s="471"/>
      <c r="H365" s="471"/>
      <c r="I365" s="471"/>
      <c r="J365" s="388" t="s">
        <v>518</v>
      </c>
      <c r="K365" s="336" t="s">
        <v>453</v>
      </c>
      <c r="L365" s="389">
        <f>SUM('RASHODI ZA VIJEĆE'!E457+'RASHODI ZA VIJEĆE'!E458)</f>
        <v>16.59</v>
      </c>
      <c r="M365" s="389">
        <f>SUM('RASHODI ZA VIJEĆE'!F457+'RASHODI ZA VIJEĆE'!F458)</f>
        <v>288.14</v>
      </c>
      <c r="N365" s="389">
        <f>SUM('RASHODI ZA VIJEĆE'!G457+'RASHODI ZA VIJEĆE'!G458)</f>
        <v>500</v>
      </c>
      <c r="O365" s="389">
        <f>SUM('RASHODI ZA VIJEĆE'!H457+'RASHODI ZA VIJEĆE'!H458)</f>
        <v>1000</v>
      </c>
      <c r="P365" s="389">
        <f>SUM('RASHODI ZA VIJEĆE'!I457+'RASHODI ZA VIJEĆE'!I458)</f>
        <v>288.14</v>
      </c>
      <c r="Q365" s="390">
        <f t="shared" si="71"/>
        <v>17.36829415310428</v>
      </c>
      <c r="R365" s="390">
        <f t="shared" si="72"/>
        <v>1</v>
      </c>
      <c r="S365" s="390">
        <f t="shared" si="73"/>
        <v>0.28814000000000001</v>
      </c>
      <c r="T365" s="391">
        <v>101</v>
      </c>
      <c r="U365" s="392"/>
      <c r="V365" s="392"/>
      <c r="W365" s="392"/>
      <c r="X365" s="392"/>
      <c r="Y365" s="392"/>
      <c r="Z365" s="392"/>
      <c r="AA365" s="392"/>
      <c r="AB365" s="392"/>
    </row>
    <row r="366" spans="1:28" s="336" customFormat="1" x14ac:dyDescent="0.3">
      <c r="A366" s="386">
        <v>153</v>
      </c>
      <c r="B366" s="471">
        <v>323</v>
      </c>
      <c r="C366" s="471"/>
      <c r="D366" s="471"/>
      <c r="E366" s="471"/>
      <c r="F366" s="471"/>
      <c r="G366" s="471"/>
      <c r="H366" s="471"/>
      <c r="I366" s="471"/>
      <c r="J366" s="388" t="s">
        <v>518</v>
      </c>
      <c r="K366" s="336" t="s">
        <v>67</v>
      </c>
      <c r="L366" s="389">
        <f>SUM('RASHODI ZA VIJEĆE'!E460+'RASHODI ZA VIJEĆE'!E461)</f>
        <v>500</v>
      </c>
      <c r="M366" s="389">
        <f>SUM('RASHODI ZA VIJEĆE'!F460+'RASHODI ZA VIJEĆE'!F461)</f>
        <v>599.54</v>
      </c>
      <c r="N366" s="389">
        <f>SUM('RASHODI ZA VIJEĆE'!G460+'RASHODI ZA VIJEĆE'!G461)</f>
        <v>500</v>
      </c>
      <c r="O366" s="389">
        <f>SUM('RASHODI ZA VIJEĆE'!H460+'RASHODI ZA VIJEĆE'!H461)</f>
        <v>1000</v>
      </c>
      <c r="P366" s="389">
        <f>SUM('RASHODI ZA VIJEĆE'!I460+'RASHODI ZA VIJEĆE'!I461)</f>
        <v>599.54</v>
      </c>
      <c r="Q366" s="390">
        <f t="shared" si="71"/>
        <v>1.1990799999999999</v>
      </c>
      <c r="R366" s="390">
        <f t="shared" si="72"/>
        <v>1</v>
      </c>
      <c r="S366" s="390">
        <f t="shared" si="73"/>
        <v>0.59953999999999996</v>
      </c>
      <c r="T366" s="391"/>
      <c r="U366" s="392"/>
      <c r="V366" s="392"/>
      <c r="W366" s="392"/>
      <c r="X366" s="392"/>
      <c r="Y366" s="392"/>
      <c r="Z366" s="392"/>
      <c r="AA366" s="392"/>
      <c r="AB366" s="392"/>
    </row>
    <row r="367" spans="1:28" s="336" customFormat="1" x14ac:dyDescent="0.3">
      <c r="A367" s="386">
        <v>154</v>
      </c>
      <c r="B367" s="471">
        <v>323</v>
      </c>
      <c r="C367" s="471"/>
      <c r="D367" s="471"/>
      <c r="E367" s="471"/>
      <c r="F367" s="471"/>
      <c r="G367" s="471"/>
      <c r="H367" s="471"/>
      <c r="I367" s="471"/>
      <c r="J367" s="388" t="s">
        <v>518</v>
      </c>
      <c r="K367" s="336" t="s">
        <v>55</v>
      </c>
      <c r="L367" s="389">
        <f>SUM('RASHODI ZA VIJEĆE'!E463+'RASHODI ZA VIJEĆE'!E464+'RASHODI ZA VIJEĆE'!E465+'RASHODI ZA VIJEĆE'!E466+'RASHODI ZA VIJEĆE'!E492)</f>
        <v>1085.53</v>
      </c>
      <c r="M367" s="389">
        <f>SUM('RASHODI ZA VIJEĆE'!F463+'RASHODI ZA VIJEĆE'!F464+'RASHODI ZA VIJEĆE'!F465+'RASHODI ZA VIJEĆE'!F466+'RASHODI ZA VIJEĆE'!F492)</f>
        <v>2527.96</v>
      </c>
      <c r="N367" s="389">
        <f>SUM('RASHODI ZA VIJEĆE'!G463+'RASHODI ZA VIJEĆE'!G464+'RASHODI ZA VIJEĆE'!G465+'RASHODI ZA VIJEĆE'!G466+'RASHODI ZA VIJEĆE'!G492)</f>
        <v>3000</v>
      </c>
      <c r="O367" s="389">
        <f>SUM('RASHODI ZA VIJEĆE'!H463+'RASHODI ZA VIJEĆE'!H464+'RASHODI ZA VIJEĆE'!H465+'RASHODI ZA VIJEĆE'!H466+'RASHODI ZA VIJEĆE'!H492)</f>
        <v>4000</v>
      </c>
      <c r="P367" s="389">
        <f>SUM('RASHODI ZA VIJEĆE'!I463+'RASHODI ZA VIJEĆE'!I464+'RASHODI ZA VIJEĆE'!I465+'RASHODI ZA VIJEĆE'!I466+'RASHODI ZA VIJEĆE'!I492)</f>
        <v>2527.96</v>
      </c>
      <c r="Q367" s="390">
        <f t="shared" si="71"/>
        <v>2.3287794902029426</v>
      </c>
      <c r="R367" s="390">
        <f t="shared" si="72"/>
        <v>1</v>
      </c>
      <c r="S367" s="390">
        <f t="shared" si="73"/>
        <v>0.63199000000000005</v>
      </c>
      <c r="T367" s="391">
        <v>126</v>
      </c>
      <c r="U367" s="392"/>
      <c r="V367" s="392"/>
      <c r="W367" s="392"/>
      <c r="X367" s="392"/>
      <c r="Y367" s="392"/>
      <c r="Z367" s="392"/>
      <c r="AA367" s="392"/>
      <c r="AB367" s="392"/>
    </row>
    <row r="368" spans="1:28" s="336" customFormat="1" x14ac:dyDescent="0.3">
      <c r="A368" s="386">
        <v>155</v>
      </c>
      <c r="B368" s="471">
        <v>323</v>
      </c>
      <c r="C368" s="471"/>
      <c r="D368" s="471"/>
      <c r="E368" s="471"/>
      <c r="F368" s="471"/>
      <c r="G368" s="471"/>
      <c r="H368" s="471"/>
      <c r="I368" s="471"/>
      <c r="J368" s="388" t="s">
        <v>518</v>
      </c>
      <c r="K368" s="336" t="s">
        <v>454</v>
      </c>
      <c r="L368" s="389">
        <f>SUM('RASHODI ZA VIJEĆE'!E471+'RASHODI ZA VIJEĆE'!E472+'RASHODI ZA VIJEĆE'!E473+'RASHODI ZA VIJEĆE'!E474+'RASHODI ZA VIJEĆE'!E475)</f>
        <v>2040</v>
      </c>
      <c r="M368" s="389">
        <f>SUM('RASHODI ZA VIJEĆE'!F471+'RASHODI ZA VIJEĆE'!F472+'RASHODI ZA VIJEĆE'!F473+'RASHODI ZA VIJEĆE'!F474+'RASHODI ZA VIJEĆE'!F475)</f>
        <v>4080.02</v>
      </c>
      <c r="N368" s="389">
        <f>SUM('RASHODI ZA VIJEĆE'!G471+'RASHODI ZA VIJEĆE'!G472+'RASHODI ZA VIJEĆE'!G473+'RASHODI ZA VIJEĆE'!G474+'RASHODI ZA VIJEĆE'!G475)</f>
        <v>5000</v>
      </c>
      <c r="O368" s="389">
        <f>SUM('RASHODI ZA VIJEĆE'!H471+'RASHODI ZA VIJEĆE'!H472+'RASHODI ZA VIJEĆE'!H473+'RASHODI ZA VIJEĆE'!H474+'RASHODI ZA VIJEĆE'!H475)</f>
        <v>5500</v>
      </c>
      <c r="P368" s="389">
        <f>SUM('RASHODI ZA VIJEĆE'!I471+'RASHODI ZA VIJEĆE'!I472+'RASHODI ZA VIJEĆE'!I473+'RASHODI ZA VIJEĆE'!I474+'RASHODI ZA VIJEĆE'!I475)</f>
        <v>4080.02</v>
      </c>
      <c r="Q368" s="390">
        <f t="shared" si="71"/>
        <v>2.0000098039215688</v>
      </c>
      <c r="R368" s="390">
        <f t="shared" si="72"/>
        <v>1</v>
      </c>
      <c r="S368" s="390">
        <f t="shared" si="73"/>
        <v>0.74182181818181814</v>
      </c>
      <c r="T368" s="391">
        <v>152</v>
      </c>
      <c r="U368" s="392"/>
      <c r="V368" s="392"/>
      <c r="W368" s="392"/>
      <c r="X368" s="392"/>
      <c r="Y368" s="392"/>
      <c r="Z368" s="392"/>
      <c r="AA368" s="392"/>
      <c r="AB368" s="392"/>
    </row>
    <row r="369" spans="1:28" s="336" customFormat="1" x14ac:dyDescent="0.3">
      <c r="A369" s="386">
        <v>156</v>
      </c>
      <c r="B369" s="471">
        <v>323</v>
      </c>
      <c r="C369" s="471"/>
      <c r="D369" s="471"/>
      <c r="E369" s="471"/>
      <c r="F369" s="471"/>
      <c r="G369" s="471"/>
      <c r="H369" s="471"/>
      <c r="I369" s="471"/>
      <c r="J369" s="388" t="s">
        <v>518</v>
      </c>
      <c r="K369" s="336" t="s">
        <v>54</v>
      </c>
      <c r="L369" s="389">
        <f>SUM('RASHODI ZA VIJEĆE'!E468+'RASHODI ZA VIJEĆE'!E469)</f>
        <v>552.82999999999993</v>
      </c>
      <c r="M369" s="389">
        <f>SUM('RASHODI ZA VIJEĆE'!F468+'RASHODI ZA VIJEĆE'!F469)</f>
        <v>1069.9100000000001</v>
      </c>
      <c r="N369" s="389">
        <f>SUM('RASHODI ZA VIJEĆE'!G468+'RASHODI ZA VIJEĆE'!G469)</f>
        <v>2000</v>
      </c>
      <c r="O369" s="389">
        <f>SUM('RASHODI ZA VIJEĆE'!H468+'RASHODI ZA VIJEĆE'!H469)</f>
        <v>2000</v>
      </c>
      <c r="P369" s="389">
        <f>SUM('RASHODI ZA VIJEĆE'!I468+'RASHODI ZA VIJEĆE'!I469)</f>
        <v>1069.9100000000001</v>
      </c>
      <c r="Q369" s="390">
        <f t="shared" si="71"/>
        <v>1.9353327424343836</v>
      </c>
      <c r="R369" s="390">
        <f t="shared" si="72"/>
        <v>1</v>
      </c>
      <c r="S369" s="390">
        <f t="shared" si="73"/>
        <v>0.53495500000000007</v>
      </c>
      <c r="T369" s="391">
        <v>144</v>
      </c>
      <c r="U369" s="392"/>
      <c r="V369" s="392"/>
      <c r="W369" s="392"/>
      <c r="X369" s="392"/>
      <c r="Y369" s="392"/>
      <c r="Z369" s="392"/>
      <c r="AA369" s="392"/>
      <c r="AB369" s="392"/>
    </row>
    <row r="370" spans="1:28" s="336" customFormat="1" x14ac:dyDescent="0.3">
      <c r="A370" s="386">
        <v>157</v>
      </c>
      <c r="B370" s="471">
        <v>323</v>
      </c>
      <c r="C370" s="471"/>
      <c r="D370" s="471"/>
      <c r="E370" s="471"/>
      <c r="F370" s="471"/>
      <c r="G370" s="471"/>
      <c r="H370" s="471"/>
      <c r="I370" s="471"/>
      <c r="J370" s="388" t="s">
        <v>518</v>
      </c>
      <c r="K370" s="336" t="s">
        <v>539</v>
      </c>
      <c r="L370" s="389">
        <f>SUM('RASHODI ZA VIJEĆE'!E477)</f>
        <v>65.59</v>
      </c>
      <c r="M370" s="389">
        <f>SUM('RASHODI ZA VIJEĆE'!F477)</f>
        <v>65.59</v>
      </c>
      <c r="N370" s="389">
        <f>SUM('RASHODI ZA VIJEĆE'!G477)</f>
        <v>500</v>
      </c>
      <c r="O370" s="389">
        <f>SUM('RASHODI ZA VIJEĆE'!H477)</f>
        <v>500</v>
      </c>
      <c r="P370" s="389">
        <f>SUM('RASHODI ZA VIJEĆE'!I477)</f>
        <v>65.59</v>
      </c>
      <c r="Q370" s="390">
        <f t="shared" si="71"/>
        <v>1</v>
      </c>
      <c r="R370" s="390">
        <f t="shared" si="72"/>
        <v>1</v>
      </c>
      <c r="S370" s="390">
        <f t="shared" si="73"/>
        <v>0.13118000000000002</v>
      </c>
      <c r="T370" s="391"/>
      <c r="U370" s="392"/>
      <c r="V370" s="392"/>
      <c r="W370" s="392"/>
      <c r="X370" s="392"/>
      <c r="Y370" s="392"/>
      <c r="Z370" s="392"/>
      <c r="AA370" s="392"/>
      <c r="AB370" s="392"/>
    </row>
    <row r="371" spans="1:28" s="336" customFormat="1" x14ac:dyDescent="0.3">
      <c r="A371" s="386">
        <v>158</v>
      </c>
      <c r="B371" s="471">
        <v>323</v>
      </c>
      <c r="C371" s="471"/>
      <c r="D371" s="471"/>
      <c r="E371" s="471"/>
      <c r="F371" s="471"/>
      <c r="G371" s="471"/>
      <c r="H371" s="471"/>
      <c r="I371" s="471"/>
      <c r="J371" s="388" t="s">
        <v>518</v>
      </c>
      <c r="K371" s="336" t="s">
        <v>966</v>
      </c>
      <c r="L371" s="389">
        <f>SUM('RASHODI ZA VIJEĆE'!E480)</f>
        <v>0</v>
      </c>
      <c r="M371" s="389">
        <f>SUM('RASHODI ZA VIJEĆE'!F480)</f>
        <v>0</v>
      </c>
      <c r="N371" s="389">
        <f>SUM('RASHODI ZA VIJEĆE'!G480)</f>
        <v>0</v>
      </c>
      <c r="O371" s="389">
        <f>SUM('RASHODI ZA VIJEĆE'!H480)</f>
        <v>0</v>
      </c>
      <c r="P371" s="389">
        <f>SUM('RASHODI ZA VIJEĆE'!I480)</f>
        <v>0</v>
      </c>
      <c r="Q371" s="390">
        <f t="shared" si="71"/>
        <v>0</v>
      </c>
      <c r="R371" s="390">
        <f t="shared" si="72"/>
        <v>0</v>
      </c>
      <c r="S371" s="390">
        <f t="shared" si="73"/>
        <v>0</v>
      </c>
      <c r="T371" s="391"/>
      <c r="U371" s="392"/>
      <c r="V371" s="392"/>
      <c r="W371" s="392"/>
      <c r="X371" s="392"/>
      <c r="Y371" s="392"/>
      <c r="Z371" s="392"/>
      <c r="AA371" s="392"/>
      <c r="AB371" s="392"/>
    </row>
    <row r="372" spans="1:28" s="322" customFormat="1" x14ac:dyDescent="0.3">
      <c r="A372" s="394"/>
      <c r="B372" s="472">
        <v>329</v>
      </c>
      <c r="C372" s="472"/>
      <c r="D372" s="472"/>
      <c r="E372" s="472"/>
      <c r="F372" s="472"/>
      <c r="G372" s="472"/>
      <c r="H372" s="472"/>
      <c r="I372" s="472"/>
      <c r="J372" s="395"/>
      <c r="K372" s="273" t="s">
        <v>7</v>
      </c>
      <c r="L372" s="379">
        <f>SUM(L373:L374)</f>
        <v>64.7</v>
      </c>
      <c r="M372" s="379">
        <f>SUM(M373:M374)</f>
        <v>280.43</v>
      </c>
      <c r="N372" s="379">
        <f>SUM(N373:N374)</f>
        <v>500</v>
      </c>
      <c r="O372" s="379">
        <f>SUM(O373:O374)</f>
        <v>1000</v>
      </c>
      <c r="P372" s="379">
        <f>SUM(P373:P374)</f>
        <v>280.43</v>
      </c>
      <c r="Q372" s="380">
        <f t="shared" si="71"/>
        <v>4.3343122102009275</v>
      </c>
      <c r="R372" s="380">
        <f t="shared" si="72"/>
        <v>1</v>
      </c>
      <c r="S372" s="380">
        <f t="shared" si="73"/>
        <v>0.28043000000000001</v>
      </c>
      <c r="T372" s="381"/>
      <c r="U372" s="357"/>
      <c r="V372" s="357"/>
      <c r="W372" s="357"/>
      <c r="X372" s="357"/>
      <c r="Y372" s="357"/>
      <c r="Z372" s="357"/>
      <c r="AA372" s="357"/>
      <c r="AB372" s="357"/>
    </row>
    <row r="373" spans="1:28" s="336" customFormat="1" x14ac:dyDescent="0.3">
      <c r="A373" s="386">
        <v>159</v>
      </c>
      <c r="B373" s="471">
        <v>329</v>
      </c>
      <c r="C373" s="471"/>
      <c r="D373" s="471"/>
      <c r="E373" s="471"/>
      <c r="F373" s="471"/>
      <c r="G373" s="471"/>
      <c r="H373" s="471"/>
      <c r="I373" s="471"/>
      <c r="J373" s="388" t="s">
        <v>518</v>
      </c>
      <c r="K373" s="336" t="s">
        <v>63</v>
      </c>
      <c r="L373" s="389">
        <f>SUM('RASHODI ZA VIJEĆE'!E489+'RASHODI ZA VIJEĆE'!E490)</f>
        <v>0</v>
      </c>
      <c r="M373" s="389">
        <f>SUM('RASHODI ZA VIJEĆE'!F489+'RASHODI ZA VIJEĆE'!F490)</f>
        <v>215.73</v>
      </c>
      <c r="N373" s="389">
        <f>SUM('RASHODI ZA VIJEĆE'!G489+'RASHODI ZA VIJEĆE'!G490)</f>
        <v>500</v>
      </c>
      <c r="O373" s="389">
        <f>SUM('RASHODI ZA VIJEĆE'!H489+'RASHODI ZA VIJEĆE'!H490)</f>
        <v>500</v>
      </c>
      <c r="P373" s="389">
        <f>SUM('RASHODI ZA VIJEĆE'!I489+'RASHODI ZA VIJEĆE'!I490)</f>
        <v>215.73</v>
      </c>
      <c r="Q373" s="390">
        <f t="shared" si="71"/>
        <v>0</v>
      </c>
      <c r="R373" s="390">
        <f t="shared" si="72"/>
        <v>1</v>
      </c>
      <c r="S373" s="390">
        <f t="shared" si="73"/>
        <v>0.43145999999999995</v>
      </c>
      <c r="T373" s="406">
        <v>185</v>
      </c>
      <c r="U373" s="392"/>
      <c r="V373" s="392"/>
      <c r="W373" s="392"/>
      <c r="X373" s="392"/>
      <c r="Y373" s="392"/>
      <c r="Z373" s="392"/>
      <c r="AA373" s="392"/>
      <c r="AB373" s="392"/>
    </row>
    <row r="374" spans="1:28" s="336" customFormat="1" x14ac:dyDescent="0.3">
      <c r="A374" s="386">
        <v>160</v>
      </c>
      <c r="B374" s="471">
        <v>329</v>
      </c>
      <c r="C374" s="471"/>
      <c r="D374" s="471"/>
      <c r="E374" s="471"/>
      <c r="F374" s="471"/>
      <c r="G374" s="471"/>
      <c r="H374" s="471"/>
      <c r="I374" s="471"/>
      <c r="J374" s="388" t="s">
        <v>518</v>
      </c>
      <c r="K374" s="336" t="s">
        <v>7</v>
      </c>
      <c r="L374" s="389">
        <f>SUM('RASHODI ZA VIJEĆE'!E493)</f>
        <v>64.7</v>
      </c>
      <c r="M374" s="389">
        <f>SUM('RASHODI ZA VIJEĆE'!F493)</f>
        <v>64.7</v>
      </c>
      <c r="N374" s="389">
        <f>SUM('RASHODI ZA VIJEĆE'!G493)</f>
        <v>0</v>
      </c>
      <c r="O374" s="389">
        <f>SUM('RASHODI ZA VIJEĆE'!H493)</f>
        <v>500</v>
      </c>
      <c r="P374" s="389">
        <f>SUM('RASHODI ZA VIJEĆE'!I493)</f>
        <v>64.7</v>
      </c>
      <c r="Q374" s="390">
        <f t="shared" si="71"/>
        <v>1</v>
      </c>
      <c r="R374" s="390">
        <f t="shared" si="72"/>
        <v>1</v>
      </c>
      <c r="S374" s="390">
        <f t="shared" si="73"/>
        <v>0.12940000000000002</v>
      </c>
      <c r="T374" s="406"/>
      <c r="U374" s="392"/>
      <c r="V374" s="392"/>
      <c r="W374" s="392"/>
      <c r="X374" s="392"/>
      <c r="Y374" s="392"/>
      <c r="Z374" s="392"/>
      <c r="AA374" s="392"/>
      <c r="AB374" s="392"/>
    </row>
    <row r="375" spans="1:28" s="322" customFormat="1" x14ac:dyDescent="0.3">
      <c r="A375" s="394"/>
      <c r="B375" s="472">
        <v>34</v>
      </c>
      <c r="C375" s="472"/>
      <c r="D375" s="472"/>
      <c r="E375" s="472"/>
      <c r="F375" s="472"/>
      <c r="G375" s="472"/>
      <c r="H375" s="472"/>
      <c r="I375" s="472"/>
      <c r="J375" s="395"/>
      <c r="K375" s="273" t="s">
        <v>8</v>
      </c>
      <c r="L375" s="379">
        <f>SUM(L376)</f>
        <v>653.99</v>
      </c>
      <c r="M375" s="379">
        <f>SUM(M376)</f>
        <v>1313.75</v>
      </c>
      <c r="N375" s="379">
        <f>SUM(N376)</f>
        <v>2000</v>
      </c>
      <c r="O375" s="379">
        <f>SUM(O376)</f>
        <v>2000</v>
      </c>
      <c r="P375" s="379">
        <f>SUM(P376)</f>
        <v>1313.75</v>
      </c>
      <c r="Q375" s="380">
        <f t="shared" si="71"/>
        <v>2.0088227648740804</v>
      </c>
      <c r="R375" s="380">
        <f t="shared" si="72"/>
        <v>1</v>
      </c>
      <c r="S375" s="380">
        <f t="shared" si="73"/>
        <v>0.65687499999999999</v>
      </c>
      <c r="T375" s="381"/>
      <c r="U375" s="357"/>
      <c r="V375" s="357"/>
      <c r="W375" s="357"/>
      <c r="X375" s="357"/>
      <c r="Y375" s="357"/>
      <c r="Z375" s="357"/>
      <c r="AA375" s="357"/>
      <c r="AB375" s="357"/>
    </row>
    <row r="376" spans="1:28" s="336" customFormat="1" x14ac:dyDescent="0.3">
      <c r="A376" s="386">
        <v>161</v>
      </c>
      <c r="B376" s="471">
        <v>343</v>
      </c>
      <c r="C376" s="471"/>
      <c r="D376" s="471"/>
      <c r="E376" s="471"/>
      <c r="F376" s="471"/>
      <c r="G376" s="471"/>
      <c r="H376" s="471"/>
      <c r="I376" s="471"/>
      <c r="J376" s="388" t="s">
        <v>518</v>
      </c>
      <c r="K376" s="336" t="s">
        <v>61</v>
      </c>
      <c r="L376" s="389">
        <f>SUM('RASHODI ZA VIJEĆE'!E497+'RASHODI ZA VIJEĆE'!E498)</f>
        <v>653.99</v>
      </c>
      <c r="M376" s="389">
        <f>SUM('RASHODI ZA VIJEĆE'!F497+'RASHODI ZA VIJEĆE'!F498)</f>
        <v>1313.75</v>
      </c>
      <c r="N376" s="389">
        <f>SUM('RASHODI ZA VIJEĆE'!G497+'RASHODI ZA VIJEĆE'!G498)</f>
        <v>2000</v>
      </c>
      <c r="O376" s="389">
        <f>SUM('RASHODI ZA VIJEĆE'!H497+'RASHODI ZA VIJEĆE'!H498)</f>
        <v>2000</v>
      </c>
      <c r="P376" s="389">
        <f>SUM('RASHODI ZA VIJEĆE'!I497+'RASHODI ZA VIJEĆE'!I498)</f>
        <v>1313.75</v>
      </c>
      <c r="Q376" s="390">
        <f t="shared" si="71"/>
        <v>2.0088227648740804</v>
      </c>
      <c r="R376" s="390">
        <f t="shared" si="72"/>
        <v>1</v>
      </c>
      <c r="S376" s="390">
        <f t="shared" si="73"/>
        <v>0.65687499999999999</v>
      </c>
      <c r="T376" s="406">
        <v>209</v>
      </c>
      <c r="U376" s="392"/>
      <c r="V376" s="392"/>
      <c r="W376" s="392"/>
      <c r="X376" s="392"/>
      <c r="Y376" s="392"/>
      <c r="Z376" s="392"/>
      <c r="AA376" s="392"/>
      <c r="AB376" s="392"/>
    </row>
    <row r="377" spans="1:28" s="336" customFormat="1" x14ac:dyDescent="0.3">
      <c r="A377" s="386"/>
      <c r="N377" s="389"/>
      <c r="O377" s="389"/>
      <c r="P377" s="389"/>
      <c r="Q377" s="389"/>
      <c r="R377" s="389"/>
      <c r="S377" s="389"/>
      <c r="T377" s="391"/>
    </row>
    <row r="378" spans="1:28" s="374" customFormat="1" ht="21" thickBot="1" x14ac:dyDescent="0.35">
      <c r="A378" s="430"/>
      <c r="B378" s="431"/>
      <c r="C378" s="431"/>
      <c r="D378" s="431"/>
      <c r="E378" s="431"/>
      <c r="F378" s="431"/>
      <c r="G378" s="431"/>
      <c r="H378" s="431"/>
      <c r="I378" s="431" t="s">
        <v>953</v>
      </c>
      <c r="J378" s="432"/>
      <c r="K378" s="431"/>
      <c r="L378" s="433">
        <f>SUM(L379)</f>
        <v>20026.39</v>
      </c>
      <c r="M378" s="433">
        <f>SUM(M379)</f>
        <v>37169.869999999995</v>
      </c>
      <c r="N378" s="433">
        <f>SUM(N379)</f>
        <v>41500</v>
      </c>
      <c r="O378" s="433">
        <f>SUM(O379)</f>
        <v>45200</v>
      </c>
      <c r="P378" s="433">
        <f>SUM(P379)</f>
        <v>37169.869999999995</v>
      </c>
      <c r="Q378" s="434">
        <f>IFERROR(SUM(P378/L378),0)</f>
        <v>1.8560444493490837</v>
      </c>
      <c r="R378" s="434">
        <f>IFERROR(SUM(P378/M378),0)</f>
        <v>1</v>
      </c>
      <c r="S378" s="434">
        <f>IFERROR(SUM(P378/O378),0)</f>
        <v>0.82234225663716809</v>
      </c>
      <c r="T378" s="371"/>
      <c r="U378" s="373"/>
      <c r="V378" s="373"/>
      <c r="W378" s="373"/>
      <c r="X378" s="373"/>
      <c r="Y378" s="373"/>
      <c r="Z378" s="373"/>
      <c r="AA378" s="373"/>
      <c r="AB378" s="373"/>
    </row>
    <row r="379" spans="1:28" s="374" customFormat="1" ht="21.75" thickTop="1" thickBot="1" x14ac:dyDescent="0.35">
      <c r="A379" s="435"/>
      <c r="B379" s="376">
        <v>1</v>
      </c>
      <c r="C379" s="376"/>
      <c r="D379" s="376"/>
      <c r="E379" s="376"/>
      <c r="F379" s="376"/>
      <c r="G379" s="376"/>
      <c r="H379" s="376"/>
      <c r="I379" s="436" t="s">
        <v>954</v>
      </c>
      <c r="J379" s="429"/>
      <c r="K379" s="360"/>
      <c r="L379" s="369">
        <f>SUM(L381+L408)</f>
        <v>20026.39</v>
      </c>
      <c r="M379" s="369">
        <f>SUM(M381+M408)</f>
        <v>37169.869999999995</v>
      </c>
      <c r="N379" s="369">
        <f>SUM(N381+N408)</f>
        <v>41500</v>
      </c>
      <c r="O379" s="369">
        <f>SUM(O381+O408)</f>
        <v>45200</v>
      </c>
      <c r="P379" s="369">
        <f>SUM(P381+P408)</f>
        <v>37169.869999999995</v>
      </c>
      <c r="Q379" s="370">
        <f>IFERROR(SUM(P379/L379),0)</f>
        <v>1.8560444493490837</v>
      </c>
      <c r="R379" s="370">
        <f>IFERROR(SUM(P379/M379),0)</f>
        <v>1</v>
      </c>
      <c r="S379" s="370">
        <f>IFERROR(SUM(P379/O379),0)</f>
        <v>0.82234225663716809</v>
      </c>
      <c r="T379" s="375"/>
      <c r="U379" s="373"/>
      <c r="V379" s="373"/>
      <c r="W379" s="373"/>
      <c r="X379" s="373"/>
      <c r="Y379" s="373"/>
      <c r="Z379" s="373"/>
      <c r="AA379" s="373"/>
      <c r="AB379" s="373"/>
    </row>
    <row r="380" spans="1:28" s="322" customFormat="1" ht="21" thickTop="1" x14ac:dyDescent="0.3">
      <c r="A380" s="394"/>
      <c r="B380" s="472" t="s">
        <v>955</v>
      </c>
      <c r="C380" s="472"/>
      <c r="D380" s="472"/>
      <c r="E380" s="472"/>
      <c r="F380" s="472"/>
      <c r="G380" s="472"/>
      <c r="H380" s="472"/>
      <c r="I380" s="472"/>
      <c r="J380" s="472"/>
      <c r="K380" s="472"/>
      <c r="L380" s="379"/>
      <c r="M380" s="379"/>
      <c r="N380" s="379"/>
      <c r="O380" s="379"/>
      <c r="P380" s="379"/>
      <c r="Q380" s="380"/>
      <c r="R380" s="380"/>
      <c r="S380" s="380"/>
      <c r="T380" s="381"/>
      <c r="U380" s="357"/>
      <c r="V380" s="357"/>
      <c r="W380" s="357"/>
      <c r="X380" s="357"/>
      <c r="Y380" s="357"/>
      <c r="Z380" s="357"/>
      <c r="AA380" s="357"/>
      <c r="AB380" s="357"/>
    </row>
    <row r="381" spans="1:28" s="322" customFormat="1" x14ac:dyDescent="0.3">
      <c r="A381" s="394"/>
      <c r="B381" s="472">
        <v>3</v>
      </c>
      <c r="C381" s="472"/>
      <c r="D381" s="472"/>
      <c r="E381" s="472"/>
      <c r="F381" s="472"/>
      <c r="G381" s="472"/>
      <c r="H381" s="472"/>
      <c r="I381" s="472"/>
      <c r="J381" s="395"/>
      <c r="K381" s="273" t="s">
        <v>20</v>
      </c>
      <c r="L381" s="379">
        <f>SUM(L382+L391+L406)</f>
        <v>11572.96</v>
      </c>
      <c r="M381" s="379">
        <f>SUM(M382+M391+M406)</f>
        <v>24548.75</v>
      </c>
      <c r="N381" s="379">
        <f>SUM(N382+N391+N406)</f>
        <v>36700</v>
      </c>
      <c r="O381" s="379">
        <f>SUM(O382+O391+O406)</f>
        <v>32500</v>
      </c>
      <c r="P381" s="379">
        <f>SUM(P382+P391+P406)</f>
        <v>24548.75</v>
      </c>
      <c r="Q381" s="380">
        <f t="shared" ref="Q381:Q407" si="74">IFERROR(SUM(P381/L381),0)</f>
        <v>2.1212161797846014</v>
      </c>
      <c r="R381" s="380">
        <f t="shared" ref="R381:R407" si="75">IFERROR(SUM(P381/M381),0)</f>
        <v>1</v>
      </c>
      <c r="S381" s="380">
        <f t="shared" ref="S381:S410" si="76">IFERROR(SUM(P381/O381),0)</f>
        <v>0.75534615384615389</v>
      </c>
      <c r="T381" s="381"/>
      <c r="U381" s="357"/>
      <c r="V381" s="357"/>
      <c r="W381" s="357"/>
      <c r="X381" s="357"/>
      <c r="Y381" s="357"/>
      <c r="Z381" s="357"/>
      <c r="AA381" s="357"/>
      <c r="AB381" s="357"/>
    </row>
    <row r="382" spans="1:28" s="322" customFormat="1" x14ac:dyDescent="0.3">
      <c r="A382" s="394"/>
      <c r="B382" s="472">
        <v>31</v>
      </c>
      <c r="C382" s="472"/>
      <c r="D382" s="472"/>
      <c r="E382" s="472"/>
      <c r="F382" s="472"/>
      <c r="G382" s="472"/>
      <c r="H382" s="472"/>
      <c r="I382" s="472"/>
      <c r="J382" s="395"/>
      <c r="K382" s="273" t="s">
        <v>0</v>
      </c>
      <c r="L382" s="379">
        <f>SUM(L383+L385+L387)</f>
        <v>10392.689999999999</v>
      </c>
      <c r="M382" s="379">
        <f>SUM(M383+M385+M387)</f>
        <v>21514.7</v>
      </c>
      <c r="N382" s="379">
        <f>SUM(N383+N385+N387)</f>
        <v>21800</v>
      </c>
      <c r="O382" s="379">
        <f>SUM(O383+O385+O387)</f>
        <v>24300</v>
      </c>
      <c r="P382" s="379">
        <f>SUM(P383+P385+P387)</f>
        <v>21514.7</v>
      </c>
      <c r="Q382" s="380">
        <f t="shared" si="74"/>
        <v>2.0701762488826283</v>
      </c>
      <c r="R382" s="380">
        <f t="shared" si="75"/>
        <v>1</v>
      </c>
      <c r="S382" s="380">
        <f t="shared" si="76"/>
        <v>0.88537860082304531</v>
      </c>
      <c r="T382" s="381"/>
      <c r="U382" s="357"/>
      <c r="V382" s="357"/>
      <c r="W382" s="357"/>
      <c r="X382" s="357"/>
      <c r="Y382" s="357"/>
      <c r="Z382" s="357"/>
      <c r="AA382" s="357"/>
      <c r="AB382" s="357"/>
    </row>
    <row r="383" spans="1:28" s="322" customFormat="1" x14ac:dyDescent="0.3">
      <c r="A383" s="394"/>
      <c r="B383" s="472">
        <v>311</v>
      </c>
      <c r="C383" s="472"/>
      <c r="D383" s="472"/>
      <c r="E383" s="472"/>
      <c r="F383" s="472"/>
      <c r="G383" s="472"/>
      <c r="H383" s="472"/>
      <c r="I383" s="472"/>
      <c r="J383" s="395"/>
      <c r="K383" s="273" t="s">
        <v>72</v>
      </c>
      <c r="L383" s="379">
        <f>SUM(L384:L384)</f>
        <v>6999.29</v>
      </c>
      <c r="M383" s="379">
        <f>SUM(M384:M384)</f>
        <v>14227.23</v>
      </c>
      <c r="N383" s="379">
        <f>SUM(N384:N384)</f>
        <v>18100</v>
      </c>
      <c r="O383" s="379">
        <f>SUM(O384:O384)</f>
        <v>16100</v>
      </c>
      <c r="P383" s="379">
        <f>SUM(P384:P384)</f>
        <v>14227.23</v>
      </c>
      <c r="Q383" s="380">
        <f t="shared" si="74"/>
        <v>2.0326675991421985</v>
      </c>
      <c r="R383" s="380">
        <f t="shared" si="75"/>
        <v>1</v>
      </c>
      <c r="S383" s="380">
        <f t="shared" si="76"/>
        <v>0.8836788819875776</v>
      </c>
      <c r="T383" s="381"/>
      <c r="U383" s="357"/>
      <c r="V383" s="357"/>
      <c r="W383" s="357"/>
      <c r="X383" s="357"/>
      <c r="Y383" s="357"/>
      <c r="Z383" s="357"/>
      <c r="AA383" s="357"/>
      <c r="AB383" s="357"/>
    </row>
    <row r="384" spans="1:28" s="336" customFormat="1" x14ac:dyDescent="0.3">
      <c r="A384" s="386">
        <v>162</v>
      </c>
      <c r="B384" s="471">
        <v>311</v>
      </c>
      <c r="C384" s="471"/>
      <c r="D384" s="471"/>
      <c r="E384" s="471"/>
      <c r="F384" s="471"/>
      <c r="G384" s="471"/>
      <c r="H384" s="471"/>
      <c r="I384" s="471"/>
      <c r="J384" s="388" t="s">
        <v>956</v>
      </c>
      <c r="K384" s="336" t="s">
        <v>72</v>
      </c>
      <c r="L384" s="389">
        <f>SUM('RASHODI ZA VIJEĆE'!E517)</f>
        <v>6999.29</v>
      </c>
      <c r="M384" s="389">
        <f>SUM('RASHODI ZA VIJEĆE'!F517)</f>
        <v>14227.23</v>
      </c>
      <c r="N384" s="389">
        <f>SUM('RASHODI ZA VIJEĆE'!G517)</f>
        <v>18100</v>
      </c>
      <c r="O384" s="389">
        <f>SUM('RASHODI ZA VIJEĆE'!H517)</f>
        <v>16100</v>
      </c>
      <c r="P384" s="389">
        <f>SUM('RASHODI ZA VIJEĆE'!I517)</f>
        <v>14227.23</v>
      </c>
      <c r="Q384" s="390">
        <f t="shared" si="74"/>
        <v>2.0326675991421985</v>
      </c>
      <c r="R384" s="390">
        <f t="shared" si="75"/>
        <v>1</v>
      </c>
      <c r="S384" s="390">
        <f t="shared" si="76"/>
        <v>0.8836788819875776</v>
      </c>
      <c r="T384" s="406">
        <v>11</v>
      </c>
      <c r="U384" s="392"/>
      <c r="V384" s="392"/>
      <c r="W384" s="392"/>
      <c r="X384" s="392"/>
      <c r="Y384" s="392"/>
      <c r="Z384" s="392"/>
      <c r="AA384" s="392"/>
      <c r="AB384" s="392"/>
    </row>
    <row r="385" spans="1:28" s="322" customFormat="1" x14ac:dyDescent="0.3">
      <c r="A385" s="394"/>
      <c r="B385" s="472">
        <v>312</v>
      </c>
      <c r="C385" s="472"/>
      <c r="D385" s="472"/>
      <c r="E385" s="472"/>
      <c r="F385" s="472"/>
      <c r="G385" s="472"/>
      <c r="H385" s="472"/>
      <c r="I385" s="472"/>
      <c r="J385" s="395"/>
      <c r="K385" s="273" t="s">
        <v>4</v>
      </c>
      <c r="L385" s="379">
        <f>SUM(L386)</f>
        <v>200</v>
      </c>
      <c r="M385" s="379">
        <f>SUM(M386)</f>
        <v>796.35</v>
      </c>
      <c r="N385" s="379">
        <f>SUM(N386)</f>
        <v>700</v>
      </c>
      <c r="O385" s="379">
        <f>SUM(O386)</f>
        <v>700</v>
      </c>
      <c r="P385" s="379">
        <f>SUM(P386)</f>
        <v>796.35</v>
      </c>
      <c r="Q385" s="380">
        <f t="shared" si="74"/>
        <v>3.9817499999999999</v>
      </c>
      <c r="R385" s="380">
        <f t="shared" si="75"/>
        <v>1</v>
      </c>
      <c r="S385" s="380">
        <f t="shared" si="76"/>
        <v>1.1376428571428572</v>
      </c>
      <c r="T385" s="381"/>
      <c r="U385" s="357"/>
      <c r="V385" s="357"/>
      <c r="W385" s="357"/>
      <c r="X385" s="357"/>
      <c r="Y385" s="357"/>
      <c r="Z385" s="357"/>
      <c r="AA385" s="357"/>
      <c r="AB385" s="357"/>
    </row>
    <row r="386" spans="1:28" s="336" customFormat="1" x14ac:dyDescent="0.3">
      <c r="A386" s="386">
        <v>163</v>
      </c>
      <c r="B386" s="471">
        <v>321</v>
      </c>
      <c r="C386" s="471"/>
      <c r="D386" s="471"/>
      <c r="E386" s="471"/>
      <c r="F386" s="471"/>
      <c r="G386" s="471"/>
      <c r="H386" s="471"/>
      <c r="I386" s="471"/>
      <c r="J386" s="388" t="s">
        <v>956</v>
      </c>
      <c r="K386" s="336" t="s">
        <v>4</v>
      </c>
      <c r="L386" s="389">
        <f>SUM('RASHODI ZA VIJEĆE'!E520+'RASHODI ZA VIJEĆE'!E521)</f>
        <v>200</v>
      </c>
      <c r="M386" s="389">
        <f>SUM('RASHODI ZA VIJEĆE'!F520+'RASHODI ZA VIJEĆE'!F521)</f>
        <v>796.35</v>
      </c>
      <c r="N386" s="389">
        <f>SUM('RASHODI ZA VIJEĆE'!G520+'RASHODI ZA VIJEĆE'!G521)</f>
        <v>700</v>
      </c>
      <c r="O386" s="389">
        <f>SUM('RASHODI ZA VIJEĆE'!H520+'RASHODI ZA VIJEĆE'!H521)</f>
        <v>700</v>
      </c>
      <c r="P386" s="389">
        <f>SUM('RASHODI ZA VIJEĆE'!I520+'RASHODI ZA VIJEĆE'!I521)</f>
        <v>796.35</v>
      </c>
      <c r="Q386" s="390">
        <f t="shared" si="74"/>
        <v>3.9817499999999999</v>
      </c>
      <c r="R386" s="390">
        <f t="shared" si="75"/>
        <v>1</v>
      </c>
      <c r="S386" s="390">
        <f t="shared" si="76"/>
        <v>1.1376428571428572</v>
      </c>
      <c r="T386" s="406">
        <v>19</v>
      </c>
      <c r="U386" s="392"/>
      <c r="V386" s="392"/>
      <c r="W386" s="392"/>
      <c r="X386" s="392"/>
      <c r="Y386" s="392"/>
      <c r="Z386" s="392"/>
      <c r="AA386" s="392"/>
      <c r="AB386" s="392"/>
    </row>
    <row r="387" spans="1:28" s="322" customFormat="1" x14ac:dyDescent="0.3">
      <c r="A387" s="394"/>
      <c r="B387" s="472">
        <v>313</v>
      </c>
      <c r="C387" s="472"/>
      <c r="D387" s="472"/>
      <c r="E387" s="472"/>
      <c r="F387" s="472"/>
      <c r="G387" s="472"/>
      <c r="H387" s="472"/>
      <c r="I387" s="472"/>
      <c r="J387" s="395"/>
      <c r="K387" s="273" t="s">
        <v>112</v>
      </c>
      <c r="L387" s="379">
        <f>SUM(L388:L390)</f>
        <v>3193.3999999999996</v>
      </c>
      <c r="M387" s="379">
        <f>SUM(M388:M390)</f>
        <v>6491.12</v>
      </c>
      <c r="N387" s="379">
        <f>SUM(N388:N390)</f>
        <v>3000</v>
      </c>
      <c r="O387" s="379">
        <f>SUM(O388:O390)</f>
        <v>7500</v>
      </c>
      <c r="P387" s="379">
        <f>SUM(P388:P390)</f>
        <v>6491.12</v>
      </c>
      <c r="Q387" s="380">
        <f t="shared" si="74"/>
        <v>2.0326673764639569</v>
      </c>
      <c r="R387" s="380">
        <f t="shared" si="75"/>
        <v>1</v>
      </c>
      <c r="S387" s="380">
        <f t="shared" si="76"/>
        <v>0.86548266666666662</v>
      </c>
      <c r="T387" s="381"/>
      <c r="U387" s="357"/>
      <c r="V387" s="357"/>
      <c r="W387" s="357"/>
      <c r="X387" s="357"/>
      <c r="Y387" s="357"/>
      <c r="Z387" s="357"/>
      <c r="AA387" s="357"/>
      <c r="AB387" s="357"/>
    </row>
    <row r="388" spans="1:28" s="336" customFormat="1" x14ac:dyDescent="0.3">
      <c r="A388" s="386">
        <v>164</v>
      </c>
      <c r="B388" s="471">
        <v>313</v>
      </c>
      <c r="C388" s="471"/>
      <c r="D388" s="471"/>
      <c r="E388" s="471"/>
      <c r="F388" s="471"/>
      <c r="G388" s="471"/>
      <c r="H388" s="471"/>
      <c r="I388" s="471"/>
      <c r="J388" s="388" t="s">
        <v>956</v>
      </c>
      <c r="K388" s="336" t="s">
        <v>958</v>
      </c>
      <c r="L388" s="389">
        <f>SUM('RASHODI ZA VIJEĆE'!E524)</f>
        <v>1312.36</v>
      </c>
      <c r="M388" s="389">
        <f>SUM('RASHODI ZA VIJEĆE'!F524)</f>
        <v>2667.58</v>
      </c>
      <c r="N388" s="389">
        <f>SUM('RASHODI ZA VIJEĆE'!G524)</f>
        <v>0</v>
      </c>
      <c r="O388" s="389">
        <f>SUM('RASHODI ZA VIJEĆE'!H524)</f>
        <v>3000</v>
      </c>
      <c r="P388" s="389">
        <f>SUM('RASHODI ZA VIJEĆE'!I524)</f>
        <v>2667.58</v>
      </c>
      <c r="Q388" s="390">
        <f>IFERROR(SUM(P388/L388),0)</f>
        <v>2.0326587216922185</v>
      </c>
      <c r="R388" s="390">
        <f>IFERROR(SUM(P388/M388),0)</f>
        <v>1</v>
      </c>
      <c r="S388" s="390">
        <f t="shared" si="76"/>
        <v>0.88919333333333328</v>
      </c>
      <c r="T388" s="406"/>
      <c r="U388" s="392"/>
      <c r="V388" s="392"/>
      <c r="W388" s="392"/>
      <c r="X388" s="392"/>
      <c r="Y388" s="392"/>
      <c r="Z388" s="392"/>
      <c r="AA388" s="392"/>
      <c r="AB388" s="392"/>
    </row>
    <row r="389" spans="1:28" s="336" customFormat="1" x14ac:dyDescent="0.3">
      <c r="A389" s="386">
        <v>165</v>
      </c>
      <c r="B389" s="471">
        <v>313</v>
      </c>
      <c r="C389" s="471"/>
      <c r="D389" s="471"/>
      <c r="E389" s="471"/>
      <c r="F389" s="471"/>
      <c r="G389" s="471"/>
      <c r="H389" s="471"/>
      <c r="I389" s="471"/>
      <c r="J389" s="388" t="s">
        <v>956</v>
      </c>
      <c r="K389" s="336" t="s">
        <v>957</v>
      </c>
      <c r="L389" s="389">
        <f>SUM('RASHODI ZA VIJEĆE'!E525)</f>
        <v>437.44</v>
      </c>
      <c r="M389" s="389">
        <f>SUM('RASHODI ZA VIJEĆE'!F525)</f>
        <v>889.16</v>
      </c>
      <c r="N389" s="389">
        <f>SUM('RASHODI ZA VIJEĆE'!G525)</f>
        <v>0</v>
      </c>
      <c r="O389" s="389">
        <f>SUM('RASHODI ZA VIJEĆE'!H525)</f>
        <v>1000</v>
      </c>
      <c r="P389" s="389">
        <f>SUM('RASHODI ZA VIJEĆE'!I525)</f>
        <v>889.16</v>
      </c>
      <c r="Q389" s="390">
        <f>IFERROR(SUM(P389/L389),0)</f>
        <v>2.0326444769568397</v>
      </c>
      <c r="R389" s="390">
        <f>IFERROR(SUM(P389/M389),0)</f>
        <v>1</v>
      </c>
      <c r="S389" s="390">
        <f t="shared" si="76"/>
        <v>0.88915999999999995</v>
      </c>
      <c r="T389" s="406"/>
      <c r="U389" s="392"/>
      <c r="V389" s="392"/>
      <c r="W389" s="392"/>
      <c r="X389" s="392"/>
      <c r="Y389" s="392"/>
      <c r="Z389" s="392"/>
      <c r="AA389" s="392"/>
      <c r="AB389" s="392"/>
    </row>
    <row r="390" spans="1:28" s="336" customFormat="1" x14ac:dyDescent="0.3">
      <c r="A390" s="386">
        <v>166</v>
      </c>
      <c r="B390" s="471">
        <v>313</v>
      </c>
      <c r="C390" s="471"/>
      <c r="D390" s="471"/>
      <c r="E390" s="471"/>
      <c r="F390" s="471"/>
      <c r="G390" s="471"/>
      <c r="H390" s="471"/>
      <c r="I390" s="471"/>
      <c r="J390" s="388" t="s">
        <v>956</v>
      </c>
      <c r="K390" s="336" t="s">
        <v>71</v>
      </c>
      <c r="L390" s="389">
        <f>SUM('RASHODI ZA VIJEĆE'!E527)</f>
        <v>1443.6</v>
      </c>
      <c r="M390" s="389">
        <f>SUM('RASHODI ZA VIJEĆE'!F527)</f>
        <v>2934.38</v>
      </c>
      <c r="N390" s="389">
        <f>SUM('RASHODI ZA VIJEĆE'!G527)</f>
        <v>3000</v>
      </c>
      <c r="O390" s="389">
        <f>SUM('RASHODI ZA VIJEĆE'!H527)</f>
        <v>3500</v>
      </c>
      <c r="P390" s="389">
        <f>SUM('RASHODI ZA VIJEĆE'!I527)</f>
        <v>2934.38</v>
      </c>
      <c r="Q390" s="390">
        <f t="shared" si="74"/>
        <v>2.0326821834303135</v>
      </c>
      <c r="R390" s="390">
        <f t="shared" si="75"/>
        <v>1</v>
      </c>
      <c r="S390" s="390">
        <f t="shared" si="76"/>
        <v>0.83839428571428576</v>
      </c>
      <c r="T390" s="406">
        <v>37</v>
      </c>
      <c r="U390" s="392"/>
      <c r="V390" s="392"/>
      <c r="W390" s="392"/>
      <c r="X390" s="392"/>
      <c r="Y390" s="392"/>
      <c r="Z390" s="392"/>
      <c r="AA390" s="392"/>
      <c r="AB390" s="392"/>
    </row>
    <row r="391" spans="1:28" s="322" customFormat="1" x14ac:dyDescent="0.3">
      <c r="A391" s="394"/>
      <c r="B391" s="472">
        <v>32</v>
      </c>
      <c r="C391" s="472"/>
      <c r="D391" s="472"/>
      <c r="E391" s="472"/>
      <c r="F391" s="472"/>
      <c r="G391" s="472"/>
      <c r="H391" s="472"/>
      <c r="I391" s="472"/>
      <c r="J391" s="395"/>
      <c r="K391" s="273" t="s">
        <v>3</v>
      </c>
      <c r="L391" s="379">
        <f>SUM(L392+L395+L398+L404)</f>
        <v>1080.44</v>
      </c>
      <c r="M391" s="379">
        <f>SUM(M392+M395+M398+M404)</f>
        <v>2771.02</v>
      </c>
      <c r="N391" s="379">
        <f>SUM(N392+N395+N398+N404)</f>
        <v>13200</v>
      </c>
      <c r="O391" s="379">
        <f>SUM(O392+O395+O398+O404)</f>
        <v>7900</v>
      </c>
      <c r="P391" s="379">
        <f>SUM(P392+P395+P398+P404)</f>
        <v>2771.02</v>
      </c>
      <c r="Q391" s="380">
        <f t="shared" si="74"/>
        <v>2.5647143756247455</v>
      </c>
      <c r="R391" s="380">
        <f t="shared" si="75"/>
        <v>1</v>
      </c>
      <c r="S391" s="380">
        <f t="shared" si="76"/>
        <v>0.35076202531645567</v>
      </c>
      <c r="T391" s="381"/>
      <c r="U391" s="357"/>
      <c r="V391" s="357"/>
      <c r="W391" s="357"/>
      <c r="X391" s="357"/>
      <c r="Y391" s="357"/>
      <c r="Z391" s="357"/>
      <c r="AA391" s="357"/>
      <c r="AB391" s="357"/>
    </row>
    <row r="392" spans="1:28" s="322" customFormat="1" x14ac:dyDescent="0.3">
      <c r="A392" s="394"/>
      <c r="B392" s="472">
        <v>321</v>
      </c>
      <c r="C392" s="472"/>
      <c r="D392" s="472"/>
      <c r="E392" s="472"/>
      <c r="F392" s="472"/>
      <c r="G392" s="472"/>
      <c r="H392" s="472"/>
      <c r="I392" s="472"/>
      <c r="J392" s="395"/>
      <c r="K392" s="273" t="s">
        <v>1</v>
      </c>
      <c r="L392" s="379">
        <f>SUM(L393:L394)</f>
        <v>21.28</v>
      </c>
      <c r="M392" s="379">
        <f>SUM(M393:M394)</f>
        <v>76.16</v>
      </c>
      <c r="N392" s="379">
        <f>SUM(N393:N394)</f>
        <v>1000</v>
      </c>
      <c r="O392" s="379">
        <f>SUM(O393:O394)</f>
        <v>200</v>
      </c>
      <c r="P392" s="379">
        <f>SUM(P393:P394)</f>
        <v>76.16</v>
      </c>
      <c r="Q392" s="380">
        <f t="shared" si="74"/>
        <v>3.5789473684210522</v>
      </c>
      <c r="R392" s="380">
        <f t="shared" si="75"/>
        <v>1</v>
      </c>
      <c r="S392" s="380">
        <f t="shared" si="76"/>
        <v>0.38079999999999997</v>
      </c>
      <c r="T392" s="381"/>
      <c r="U392" s="357"/>
      <c r="V392" s="357"/>
      <c r="W392" s="357"/>
      <c r="X392" s="357"/>
      <c r="Y392" s="357"/>
      <c r="Z392" s="357"/>
      <c r="AA392" s="357"/>
      <c r="AB392" s="357"/>
    </row>
    <row r="393" spans="1:28" s="336" customFormat="1" x14ac:dyDescent="0.3">
      <c r="A393" s="386">
        <v>167</v>
      </c>
      <c r="B393" s="471">
        <v>321</v>
      </c>
      <c r="C393" s="471"/>
      <c r="D393" s="471"/>
      <c r="E393" s="471"/>
      <c r="F393" s="471"/>
      <c r="G393" s="471"/>
      <c r="H393" s="471"/>
      <c r="I393" s="471"/>
      <c r="J393" s="388" t="s">
        <v>956</v>
      </c>
      <c r="K393" s="336" t="s">
        <v>75</v>
      </c>
      <c r="L393" s="389">
        <f>SUM('RASHODI ZA VIJEĆE'!E534)</f>
        <v>0</v>
      </c>
      <c r="M393" s="389">
        <f>SUM('RASHODI ZA VIJEĆE'!F534)</f>
        <v>0</v>
      </c>
      <c r="N393" s="389">
        <f>SUM('RASHODI ZA VIJEĆE'!G534)</f>
        <v>500</v>
      </c>
      <c r="O393" s="389">
        <f>SUM('RASHODI ZA VIJEĆE'!H534)</f>
        <v>0</v>
      </c>
      <c r="P393" s="389">
        <f>SUM('RASHODI ZA VIJEĆE'!I534)</f>
        <v>0</v>
      </c>
      <c r="Q393" s="390">
        <f t="shared" si="74"/>
        <v>0</v>
      </c>
      <c r="R393" s="390">
        <f t="shared" si="75"/>
        <v>0</v>
      </c>
      <c r="S393" s="390">
        <f t="shared" si="76"/>
        <v>0</v>
      </c>
      <c r="T393" s="406">
        <v>55</v>
      </c>
      <c r="U393" s="392"/>
      <c r="V393" s="392"/>
      <c r="W393" s="392"/>
      <c r="X393" s="392"/>
      <c r="Y393" s="392"/>
      <c r="Z393" s="392"/>
      <c r="AA393" s="392"/>
      <c r="AB393" s="392"/>
    </row>
    <row r="394" spans="1:28" s="336" customFormat="1" x14ac:dyDescent="0.3">
      <c r="A394" s="386">
        <v>168</v>
      </c>
      <c r="B394" s="471">
        <v>321</v>
      </c>
      <c r="C394" s="471"/>
      <c r="D394" s="471"/>
      <c r="E394" s="471"/>
      <c r="F394" s="471"/>
      <c r="G394" s="471"/>
      <c r="H394" s="471"/>
      <c r="I394" s="471"/>
      <c r="J394" s="388" t="s">
        <v>956</v>
      </c>
      <c r="K394" s="336" t="s">
        <v>844</v>
      </c>
      <c r="L394" s="389">
        <f>SUM('RASHODI ZA VIJEĆE'!E536)</f>
        <v>21.28</v>
      </c>
      <c r="M394" s="389">
        <f>SUM('RASHODI ZA VIJEĆE'!F536)</f>
        <v>76.16</v>
      </c>
      <c r="N394" s="389">
        <f>SUM('RASHODI ZA VIJEĆE'!G536)</f>
        <v>500</v>
      </c>
      <c r="O394" s="389">
        <f>SUM('RASHODI ZA VIJEĆE'!H536)</f>
        <v>200</v>
      </c>
      <c r="P394" s="389">
        <f>SUM('RASHODI ZA VIJEĆE'!I536)</f>
        <v>76.16</v>
      </c>
      <c r="Q394" s="390">
        <f t="shared" si="74"/>
        <v>3.5789473684210522</v>
      </c>
      <c r="R394" s="390">
        <f t="shared" si="75"/>
        <v>1</v>
      </c>
      <c r="S394" s="390">
        <f t="shared" si="76"/>
        <v>0.38079999999999997</v>
      </c>
      <c r="T394" s="406"/>
      <c r="U394" s="392"/>
      <c r="V394" s="392"/>
      <c r="W394" s="392"/>
      <c r="X394" s="392"/>
      <c r="Y394" s="392"/>
      <c r="Z394" s="392"/>
      <c r="AA394" s="392"/>
      <c r="AB394" s="392"/>
    </row>
    <row r="395" spans="1:28" s="322" customFormat="1" x14ac:dyDescent="0.3">
      <c r="A395" s="394"/>
      <c r="B395" s="472">
        <v>322</v>
      </c>
      <c r="C395" s="472"/>
      <c r="D395" s="472"/>
      <c r="E395" s="472"/>
      <c r="F395" s="472"/>
      <c r="G395" s="472"/>
      <c r="H395" s="472"/>
      <c r="I395" s="472"/>
      <c r="J395" s="395"/>
      <c r="K395" s="273" t="s">
        <v>6</v>
      </c>
      <c r="L395" s="379">
        <f>SUM(L396:L397)</f>
        <v>127.23</v>
      </c>
      <c r="M395" s="379">
        <f>SUM(M396:M397)</f>
        <v>324.88</v>
      </c>
      <c r="N395" s="379">
        <f>SUM(N396:N397)</f>
        <v>2500</v>
      </c>
      <c r="O395" s="379">
        <f>SUM(O396:O397)</f>
        <v>1000</v>
      </c>
      <c r="P395" s="379">
        <f>SUM(P396:P397)</f>
        <v>324.88</v>
      </c>
      <c r="Q395" s="380">
        <f t="shared" si="74"/>
        <v>2.553485813094396</v>
      </c>
      <c r="R395" s="380">
        <f t="shared" si="75"/>
        <v>1</v>
      </c>
      <c r="S395" s="380">
        <f t="shared" si="76"/>
        <v>0.32488</v>
      </c>
      <c r="T395" s="381"/>
      <c r="U395" s="357"/>
      <c r="V395" s="357"/>
      <c r="W395" s="357"/>
      <c r="X395" s="357"/>
      <c r="Y395" s="357"/>
      <c r="Z395" s="357"/>
      <c r="AA395" s="357"/>
      <c r="AB395" s="357"/>
    </row>
    <row r="396" spans="1:28" s="336" customFormat="1" x14ac:dyDescent="0.3">
      <c r="A396" s="386">
        <v>169</v>
      </c>
      <c r="B396" s="471">
        <v>322</v>
      </c>
      <c r="C396" s="471"/>
      <c r="D396" s="471"/>
      <c r="E396" s="471"/>
      <c r="F396" s="471"/>
      <c r="G396" s="471"/>
      <c r="H396" s="471"/>
      <c r="I396" s="471"/>
      <c r="J396" s="388" t="s">
        <v>956</v>
      </c>
      <c r="K396" s="336" t="s">
        <v>69</v>
      </c>
      <c r="L396" s="389">
        <f>SUM('RASHODI ZA VIJEĆE'!E539+'RASHODI ZA VIJEĆE'!E540+'RASHODI ZA VIJEĆE'!E541)</f>
        <v>127.23</v>
      </c>
      <c r="M396" s="389">
        <f>SUM('RASHODI ZA VIJEĆE'!F539+'RASHODI ZA VIJEĆE'!F540+'RASHODI ZA VIJEĆE'!F541)</f>
        <v>324.88</v>
      </c>
      <c r="N396" s="389">
        <f>SUM('RASHODI ZA VIJEĆE'!G539+'RASHODI ZA VIJEĆE'!G540+'RASHODI ZA VIJEĆE'!G541)</f>
        <v>2000</v>
      </c>
      <c r="O396" s="389">
        <f>SUM('RASHODI ZA VIJEĆE'!H539+'RASHODI ZA VIJEĆE'!H540+'RASHODI ZA VIJEĆE'!H541)</f>
        <v>900</v>
      </c>
      <c r="P396" s="389">
        <f>SUM('RASHODI ZA VIJEĆE'!I539+'RASHODI ZA VIJEĆE'!I540+'RASHODI ZA VIJEĆE'!I541)</f>
        <v>324.88</v>
      </c>
      <c r="Q396" s="390">
        <f t="shared" si="74"/>
        <v>2.553485813094396</v>
      </c>
      <c r="R396" s="390">
        <f t="shared" si="75"/>
        <v>1</v>
      </c>
      <c r="S396" s="390">
        <f t="shared" si="76"/>
        <v>0.36097777777777779</v>
      </c>
      <c r="T396" s="406">
        <v>62</v>
      </c>
      <c r="U396" s="392"/>
      <c r="V396" s="392"/>
      <c r="W396" s="392"/>
      <c r="X396" s="392"/>
      <c r="Y396" s="392"/>
      <c r="Z396" s="392"/>
      <c r="AA396" s="392"/>
      <c r="AB396" s="392"/>
    </row>
    <row r="397" spans="1:28" s="336" customFormat="1" x14ac:dyDescent="0.3">
      <c r="A397" s="386">
        <v>170</v>
      </c>
      <c r="B397" s="471">
        <v>322</v>
      </c>
      <c r="C397" s="471"/>
      <c r="D397" s="471"/>
      <c r="E397" s="471"/>
      <c r="F397" s="471"/>
      <c r="G397" s="471"/>
      <c r="H397" s="471"/>
      <c r="I397" s="471"/>
      <c r="J397" s="388" t="s">
        <v>956</v>
      </c>
      <c r="K397" s="336" t="s">
        <v>959</v>
      </c>
      <c r="L397" s="389">
        <f>SUM('RASHODI ZA VIJEĆE'!E543)</f>
        <v>0</v>
      </c>
      <c r="M397" s="389">
        <f>SUM('RASHODI ZA VIJEĆE'!F543)</f>
        <v>0</v>
      </c>
      <c r="N397" s="389">
        <f>SUM('RASHODI ZA VIJEĆE'!G543)</f>
        <v>500</v>
      </c>
      <c r="O397" s="389">
        <f>SUM('RASHODI ZA VIJEĆE'!H543)</f>
        <v>100</v>
      </c>
      <c r="P397" s="389">
        <f>SUM('RASHODI ZA VIJEĆE'!I543)</f>
        <v>0</v>
      </c>
      <c r="Q397" s="390">
        <f t="shared" si="74"/>
        <v>0</v>
      </c>
      <c r="R397" s="390">
        <f t="shared" si="75"/>
        <v>0</v>
      </c>
      <c r="S397" s="390">
        <f t="shared" si="76"/>
        <v>0</v>
      </c>
      <c r="T397" s="406">
        <v>72</v>
      </c>
      <c r="U397" s="392"/>
      <c r="V397" s="392"/>
      <c r="W397" s="392"/>
      <c r="X397" s="392"/>
      <c r="Y397" s="392"/>
      <c r="Z397" s="392"/>
      <c r="AA397" s="392"/>
      <c r="AB397" s="392"/>
    </row>
    <row r="398" spans="1:28" s="322" customFormat="1" x14ac:dyDescent="0.3">
      <c r="A398" s="394"/>
      <c r="B398" s="472">
        <v>323</v>
      </c>
      <c r="C398" s="472"/>
      <c r="D398" s="472"/>
      <c r="E398" s="472"/>
      <c r="F398" s="472"/>
      <c r="G398" s="472"/>
      <c r="H398" s="472"/>
      <c r="I398" s="472"/>
      <c r="J398" s="395"/>
      <c r="K398" s="273" t="s">
        <v>2</v>
      </c>
      <c r="L398" s="379">
        <f>SUM(L399:L403)</f>
        <v>784.55</v>
      </c>
      <c r="M398" s="379">
        <f>SUM(M399:M403)</f>
        <v>2313.81</v>
      </c>
      <c r="N398" s="379">
        <f>SUM(N399:N403)</f>
        <v>8700</v>
      </c>
      <c r="O398" s="379">
        <f>SUM(O399:O403)</f>
        <v>6400</v>
      </c>
      <c r="P398" s="379">
        <f>SUM(P399:P403)</f>
        <v>2313.81</v>
      </c>
      <c r="Q398" s="380">
        <f t="shared" si="74"/>
        <v>2.9492192976865721</v>
      </c>
      <c r="R398" s="380">
        <f t="shared" si="75"/>
        <v>1</v>
      </c>
      <c r="S398" s="380">
        <f t="shared" si="76"/>
        <v>0.36153281249999997</v>
      </c>
      <c r="T398" s="381"/>
      <c r="U398" s="357"/>
      <c r="V398" s="357"/>
      <c r="W398" s="357"/>
      <c r="X398" s="357"/>
      <c r="Y398" s="357"/>
      <c r="Z398" s="357"/>
      <c r="AA398" s="357"/>
      <c r="AB398" s="357"/>
    </row>
    <row r="399" spans="1:28" s="336" customFormat="1" x14ac:dyDescent="0.3">
      <c r="A399" s="386">
        <v>171</v>
      </c>
      <c r="B399" s="471">
        <v>323</v>
      </c>
      <c r="C399" s="471"/>
      <c r="D399" s="471"/>
      <c r="E399" s="471"/>
      <c r="F399" s="471"/>
      <c r="G399" s="471"/>
      <c r="H399" s="471"/>
      <c r="I399" s="471"/>
      <c r="J399" s="388" t="s">
        <v>956</v>
      </c>
      <c r="K399" s="336" t="s">
        <v>984</v>
      </c>
      <c r="L399" s="389">
        <f>SUM('RASHODI ZA VIJEĆE'!E547)</f>
        <v>10.39</v>
      </c>
      <c r="M399" s="389">
        <f>SUM('RASHODI ZA VIJEĆE'!F547)</f>
        <v>27.07</v>
      </c>
      <c r="N399" s="389">
        <f>SUM('RASHODI ZA VIJEĆE'!G547)</f>
        <v>200</v>
      </c>
      <c r="O399" s="389">
        <f>SUM('RASHODI ZA VIJEĆE'!H547)</f>
        <v>100</v>
      </c>
      <c r="P399" s="389">
        <f>SUM('RASHODI ZA VIJEĆE'!I547)</f>
        <v>27.07</v>
      </c>
      <c r="Q399" s="390">
        <f t="shared" si="74"/>
        <v>2.6053897978825793</v>
      </c>
      <c r="R399" s="390">
        <f t="shared" si="75"/>
        <v>1</v>
      </c>
      <c r="S399" s="390">
        <f t="shared" si="76"/>
        <v>0.2707</v>
      </c>
      <c r="T399" s="391">
        <v>101</v>
      </c>
      <c r="U399" s="392"/>
      <c r="V399" s="392"/>
      <c r="W399" s="392"/>
      <c r="X399" s="392"/>
      <c r="Y399" s="392"/>
      <c r="Z399" s="392"/>
      <c r="AA399" s="392"/>
      <c r="AB399" s="392"/>
    </row>
    <row r="400" spans="1:28" s="336" customFormat="1" x14ac:dyDescent="0.3">
      <c r="A400" s="386">
        <v>172</v>
      </c>
      <c r="B400" s="471">
        <v>323</v>
      </c>
      <c r="C400" s="471"/>
      <c r="D400" s="471"/>
      <c r="E400" s="471"/>
      <c r="F400" s="471"/>
      <c r="G400" s="471"/>
      <c r="H400" s="471"/>
      <c r="I400" s="471"/>
      <c r="J400" s="388" t="s">
        <v>956</v>
      </c>
      <c r="K400" s="336" t="s">
        <v>67</v>
      </c>
      <c r="L400" s="389">
        <f>SUM('RASHODI ZA VIJEĆE'!E550)</f>
        <v>0</v>
      </c>
      <c r="M400" s="389">
        <f>SUM('RASHODI ZA VIJEĆE'!F550)</f>
        <v>0</v>
      </c>
      <c r="N400" s="389">
        <f>SUM('RASHODI ZA VIJEĆE'!G550)</f>
        <v>1000</v>
      </c>
      <c r="O400" s="389">
        <f>SUM('RASHODI ZA VIJEĆE'!H550)</f>
        <v>200</v>
      </c>
      <c r="P400" s="389">
        <f>SUM('RASHODI ZA VIJEĆE'!I550)</f>
        <v>0</v>
      </c>
      <c r="Q400" s="390">
        <f t="shared" si="74"/>
        <v>0</v>
      </c>
      <c r="R400" s="390">
        <f t="shared" si="75"/>
        <v>0</v>
      </c>
      <c r="S400" s="390">
        <f t="shared" si="76"/>
        <v>0</v>
      </c>
      <c r="T400" s="391"/>
      <c r="U400" s="392"/>
      <c r="V400" s="392"/>
      <c r="W400" s="392"/>
      <c r="X400" s="392"/>
      <c r="Y400" s="392"/>
      <c r="Z400" s="392"/>
      <c r="AA400" s="392"/>
      <c r="AB400" s="392"/>
    </row>
    <row r="401" spans="1:28" s="336" customFormat="1" x14ac:dyDescent="0.3">
      <c r="A401" s="386">
        <v>173</v>
      </c>
      <c r="B401" s="471">
        <v>323</v>
      </c>
      <c r="C401" s="471"/>
      <c r="D401" s="471"/>
      <c r="E401" s="471"/>
      <c r="F401" s="471"/>
      <c r="G401" s="471"/>
      <c r="H401" s="471"/>
      <c r="I401" s="471"/>
      <c r="J401" s="388" t="s">
        <v>956</v>
      </c>
      <c r="K401" s="336" t="s">
        <v>454</v>
      </c>
      <c r="L401" s="389">
        <f>SUM('RASHODI ZA VIJEĆE'!E552+'RASHODI ZA VIJEĆE'!E553)</f>
        <v>0</v>
      </c>
      <c r="M401" s="389">
        <f>SUM('RASHODI ZA VIJEĆE'!F552+'RASHODI ZA VIJEĆE'!F553)</f>
        <v>0</v>
      </c>
      <c r="N401" s="389">
        <f>SUM('RASHODI ZA VIJEĆE'!G552+'RASHODI ZA VIJEĆE'!G553)</f>
        <v>5500</v>
      </c>
      <c r="O401" s="389">
        <f>SUM('RASHODI ZA VIJEĆE'!H552+'RASHODI ZA VIJEĆE'!H553)</f>
        <v>4500</v>
      </c>
      <c r="P401" s="389">
        <f>SUM('RASHODI ZA VIJEĆE'!I552+'RASHODI ZA VIJEĆE'!I553)</f>
        <v>0</v>
      </c>
      <c r="Q401" s="390">
        <f t="shared" si="74"/>
        <v>0</v>
      </c>
      <c r="R401" s="390">
        <f t="shared" si="75"/>
        <v>0</v>
      </c>
      <c r="S401" s="390">
        <f t="shared" si="76"/>
        <v>0</v>
      </c>
      <c r="T401" s="391">
        <v>152</v>
      </c>
      <c r="U401" s="392"/>
      <c r="V401" s="392"/>
      <c r="W401" s="392"/>
      <c r="X401" s="392"/>
      <c r="Y401" s="392"/>
      <c r="Z401" s="392"/>
      <c r="AA401" s="392"/>
      <c r="AB401" s="392"/>
    </row>
    <row r="402" spans="1:28" s="336" customFormat="1" x14ac:dyDescent="0.3">
      <c r="A402" s="386">
        <v>174</v>
      </c>
      <c r="B402" s="471">
        <v>323</v>
      </c>
      <c r="C402" s="471"/>
      <c r="D402" s="471"/>
      <c r="E402" s="471"/>
      <c r="F402" s="471"/>
      <c r="G402" s="471"/>
      <c r="H402" s="471"/>
      <c r="I402" s="471"/>
      <c r="J402" s="388" t="s">
        <v>956</v>
      </c>
      <c r="K402" s="336" t="s">
        <v>539</v>
      </c>
      <c r="L402" s="389">
        <f>SUM('RASHODI ZA VIJEĆE'!E555)</f>
        <v>774.16</v>
      </c>
      <c r="M402" s="389">
        <f>SUM('RASHODI ZA VIJEĆE'!F555)</f>
        <v>1798.3</v>
      </c>
      <c r="N402" s="389">
        <f>SUM('RASHODI ZA VIJEĆE'!G555)</f>
        <v>1500</v>
      </c>
      <c r="O402" s="389">
        <f>SUM('RASHODI ZA VIJEĆE'!H555)</f>
        <v>1300</v>
      </c>
      <c r="P402" s="389">
        <f>SUM('RASHODI ZA VIJEĆE'!I555)</f>
        <v>1798.3</v>
      </c>
      <c r="Q402" s="390">
        <f t="shared" si="74"/>
        <v>2.3229048258757881</v>
      </c>
      <c r="R402" s="390">
        <f t="shared" si="75"/>
        <v>1</v>
      </c>
      <c r="S402" s="390">
        <f t="shared" si="76"/>
        <v>1.3833076923076923</v>
      </c>
      <c r="T402" s="391"/>
      <c r="U402" s="392"/>
      <c r="V402" s="392"/>
      <c r="W402" s="392"/>
      <c r="X402" s="392"/>
      <c r="Y402" s="392"/>
      <c r="Z402" s="392"/>
      <c r="AA402" s="392"/>
      <c r="AB402" s="392"/>
    </row>
    <row r="403" spans="1:28" s="336" customFormat="1" x14ac:dyDescent="0.3">
      <c r="A403" s="386">
        <v>175</v>
      </c>
      <c r="B403" s="471">
        <v>323</v>
      </c>
      <c r="C403" s="471"/>
      <c r="D403" s="471"/>
      <c r="E403" s="471"/>
      <c r="F403" s="471"/>
      <c r="G403" s="471"/>
      <c r="H403" s="471"/>
      <c r="I403" s="471"/>
      <c r="J403" s="388" t="s">
        <v>956</v>
      </c>
      <c r="K403" s="336" t="s">
        <v>64</v>
      </c>
      <c r="L403" s="389">
        <f>SUM('RASHODI ZA VIJEĆE'!E557)</f>
        <v>0</v>
      </c>
      <c r="M403" s="389">
        <f>SUM('RASHODI ZA VIJEĆE'!F557)</f>
        <v>488.44</v>
      </c>
      <c r="N403" s="389">
        <f>SUM('RASHODI ZA VIJEĆE'!G557)</f>
        <v>500</v>
      </c>
      <c r="O403" s="389">
        <f>SUM('RASHODI ZA VIJEĆE'!H557)</f>
        <v>300</v>
      </c>
      <c r="P403" s="389">
        <f>SUM('RASHODI ZA VIJEĆE'!I557)</f>
        <v>488.44</v>
      </c>
      <c r="Q403" s="390">
        <f>IFERROR(SUM(P403/L403),0)</f>
        <v>0</v>
      </c>
      <c r="R403" s="390">
        <f>IFERROR(SUM(P403/M403),0)</f>
        <v>1</v>
      </c>
      <c r="S403" s="390">
        <f t="shared" si="76"/>
        <v>1.6281333333333334</v>
      </c>
      <c r="T403" s="391"/>
      <c r="U403" s="392"/>
      <c r="V403" s="392"/>
      <c r="W403" s="392"/>
      <c r="X403" s="392"/>
      <c r="Y403" s="392"/>
      <c r="Z403" s="392"/>
      <c r="AA403" s="392"/>
      <c r="AB403" s="392"/>
    </row>
    <row r="404" spans="1:28" s="322" customFormat="1" x14ac:dyDescent="0.3">
      <c r="A404" s="394"/>
      <c r="B404" s="472">
        <v>329</v>
      </c>
      <c r="C404" s="472"/>
      <c r="D404" s="472"/>
      <c r="E404" s="472"/>
      <c r="F404" s="472"/>
      <c r="G404" s="472"/>
      <c r="H404" s="472"/>
      <c r="I404" s="472"/>
      <c r="J404" s="395"/>
      <c r="K404" s="273" t="s">
        <v>7</v>
      </c>
      <c r="L404" s="379">
        <f>SUM(L405)</f>
        <v>147.38</v>
      </c>
      <c r="M404" s="379">
        <f>SUM(M405)</f>
        <v>56.17</v>
      </c>
      <c r="N404" s="379">
        <f>SUM(N405)</f>
        <v>1000</v>
      </c>
      <c r="O404" s="379">
        <f>SUM(O405)</f>
        <v>300</v>
      </c>
      <c r="P404" s="379">
        <f>SUM(P405)</f>
        <v>56.17</v>
      </c>
      <c r="Q404" s="380">
        <f t="shared" si="74"/>
        <v>0.38112362600081423</v>
      </c>
      <c r="R404" s="380">
        <f t="shared" si="75"/>
        <v>1</v>
      </c>
      <c r="S404" s="380">
        <f t="shared" si="76"/>
        <v>0.18723333333333333</v>
      </c>
      <c r="T404" s="381"/>
      <c r="U404" s="357"/>
      <c r="V404" s="357"/>
      <c r="W404" s="357"/>
      <c r="X404" s="357"/>
      <c r="Y404" s="357"/>
      <c r="Z404" s="357"/>
      <c r="AA404" s="357"/>
      <c r="AB404" s="357"/>
    </row>
    <row r="405" spans="1:28" s="336" customFormat="1" x14ac:dyDescent="0.3">
      <c r="A405" s="386">
        <v>176</v>
      </c>
      <c r="B405" s="471">
        <v>329</v>
      </c>
      <c r="C405" s="471"/>
      <c r="D405" s="471"/>
      <c r="E405" s="471"/>
      <c r="F405" s="471"/>
      <c r="G405" s="471"/>
      <c r="H405" s="471"/>
      <c r="I405" s="471"/>
      <c r="J405" s="388" t="s">
        <v>956</v>
      </c>
      <c r="K405" s="336" t="s">
        <v>960</v>
      </c>
      <c r="L405" s="389">
        <f>SUM('RASHODI ZA VIJEĆE'!E559)</f>
        <v>147.38</v>
      </c>
      <c r="M405" s="389">
        <f>SUM('RASHODI ZA VIJEĆE'!F559)</f>
        <v>56.17</v>
      </c>
      <c r="N405" s="389">
        <f>SUM('RASHODI ZA VIJEĆE'!G559)</f>
        <v>1000</v>
      </c>
      <c r="O405" s="389">
        <f>SUM('RASHODI ZA VIJEĆE'!H559)</f>
        <v>300</v>
      </c>
      <c r="P405" s="389">
        <f>SUM('RASHODI ZA VIJEĆE'!I559)</f>
        <v>56.17</v>
      </c>
      <c r="Q405" s="390">
        <f>IFERROR(SUM(P405/L405),0)</f>
        <v>0.38112362600081423</v>
      </c>
      <c r="R405" s="390">
        <f>IFERROR(SUM(P405/M405),0)</f>
        <v>1</v>
      </c>
      <c r="S405" s="390">
        <f t="shared" si="76"/>
        <v>0.18723333333333333</v>
      </c>
      <c r="T405" s="391"/>
      <c r="U405" s="392"/>
      <c r="V405" s="392"/>
      <c r="W405" s="392"/>
      <c r="X405" s="392"/>
      <c r="Y405" s="392"/>
      <c r="Z405" s="392"/>
      <c r="AA405" s="392"/>
      <c r="AB405" s="392"/>
    </row>
    <row r="406" spans="1:28" s="322" customFormat="1" x14ac:dyDescent="0.3">
      <c r="A406" s="394"/>
      <c r="B406" s="472">
        <v>34</v>
      </c>
      <c r="C406" s="472"/>
      <c r="D406" s="472"/>
      <c r="E406" s="472"/>
      <c r="F406" s="472"/>
      <c r="G406" s="472"/>
      <c r="H406" s="472"/>
      <c r="I406" s="472"/>
      <c r="J406" s="395"/>
      <c r="K406" s="273" t="s">
        <v>8</v>
      </c>
      <c r="L406" s="379">
        <f>SUM(L407)</f>
        <v>99.83</v>
      </c>
      <c r="M406" s="379">
        <f>SUM(M407)</f>
        <v>263.02999999999997</v>
      </c>
      <c r="N406" s="379">
        <f>SUM(N407)</f>
        <v>1700</v>
      </c>
      <c r="O406" s="379">
        <f>SUM(O407)</f>
        <v>300</v>
      </c>
      <c r="P406" s="379">
        <f>SUM(P407)</f>
        <v>263.02999999999997</v>
      </c>
      <c r="Q406" s="380">
        <f t="shared" si="74"/>
        <v>2.6347791245116694</v>
      </c>
      <c r="R406" s="380">
        <f t="shared" si="75"/>
        <v>1</v>
      </c>
      <c r="S406" s="380">
        <f t="shared" si="76"/>
        <v>0.87676666666666658</v>
      </c>
      <c r="T406" s="381"/>
      <c r="U406" s="357"/>
      <c r="V406" s="357"/>
      <c r="W406" s="357"/>
      <c r="X406" s="357"/>
      <c r="Y406" s="357"/>
      <c r="Z406" s="357"/>
      <c r="AA406" s="357"/>
      <c r="AB406" s="357"/>
    </row>
    <row r="407" spans="1:28" s="336" customFormat="1" x14ac:dyDescent="0.3">
      <c r="A407" s="386">
        <v>177</v>
      </c>
      <c r="B407" s="471">
        <v>343</v>
      </c>
      <c r="C407" s="471"/>
      <c r="D407" s="471"/>
      <c r="E407" s="471"/>
      <c r="F407" s="471"/>
      <c r="G407" s="471"/>
      <c r="H407" s="471"/>
      <c r="I407" s="471"/>
      <c r="J407" s="388" t="s">
        <v>956</v>
      </c>
      <c r="K407" s="336" t="s">
        <v>61</v>
      </c>
      <c r="L407" s="389">
        <f>SUM('RASHODI ZA VIJEĆE'!E563)</f>
        <v>99.83</v>
      </c>
      <c r="M407" s="389">
        <f>SUM('RASHODI ZA VIJEĆE'!F563)</f>
        <v>263.02999999999997</v>
      </c>
      <c r="N407" s="389">
        <f>SUM('RASHODI ZA VIJEĆE'!G563)</f>
        <v>1700</v>
      </c>
      <c r="O407" s="389">
        <f>SUM('RASHODI ZA VIJEĆE'!H563)</f>
        <v>300</v>
      </c>
      <c r="P407" s="389">
        <f>SUM('RASHODI ZA VIJEĆE'!I563)</f>
        <v>263.02999999999997</v>
      </c>
      <c r="Q407" s="390">
        <f t="shared" si="74"/>
        <v>2.6347791245116694</v>
      </c>
      <c r="R407" s="390">
        <f t="shared" si="75"/>
        <v>1</v>
      </c>
      <c r="S407" s="390">
        <f t="shared" si="76"/>
        <v>0.87676666666666658</v>
      </c>
      <c r="T407" s="406">
        <v>209</v>
      </c>
      <c r="U407" s="392"/>
      <c r="V407" s="392"/>
      <c r="W407" s="392"/>
      <c r="X407" s="392"/>
      <c r="Y407" s="392"/>
      <c r="Z407" s="392"/>
      <c r="AA407" s="392"/>
      <c r="AB407" s="392"/>
    </row>
    <row r="408" spans="1:28" s="322" customFormat="1" x14ac:dyDescent="0.3">
      <c r="A408" s="394"/>
      <c r="B408" s="472">
        <v>4</v>
      </c>
      <c r="C408" s="472"/>
      <c r="D408" s="472"/>
      <c r="E408" s="472"/>
      <c r="F408" s="472"/>
      <c r="G408" s="472"/>
      <c r="H408" s="472"/>
      <c r="I408" s="472"/>
      <c r="J408" s="395"/>
      <c r="K408" s="273" t="s">
        <v>11</v>
      </c>
      <c r="L408" s="379">
        <f>SUM(L409)</f>
        <v>8453.43</v>
      </c>
      <c r="M408" s="379">
        <f>SUM(M409)</f>
        <v>12621.119999999999</v>
      </c>
      <c r="N408" s="379">
        <f>SUM(N409)</f>
        <v>4800</v>
      </c>
      <c r="O408" s="379">
        <f>SUM(O409)</f>
        <v>12700</v>
      </c>
      <c r="P408" s="379">
        <f>SUM(P409)</f>
        <v>12621.119999999999</v>
      </c>
      <c r="Q408" s="380">
        <f>IFERROR(SUM(P408/L408),0)</f>
        <v>1.493017627164358</v>
      </c>
      <c r="R408" s="380">
        <f>IFERROR(SUM(P408/M408),0)</f>
        <v>1</v>
      </c>
      <c r="S408" s="380">
        <f t="shared" si="76"/>
        <v>0.99378897637795272</v>
      </c>
      <c r="T408" s="381"/>
      <c r="U408" s="357"/>
      <c r="V408" s="357"/>
      <c r="W408" s="357"/>
      <c r="X408" s="357"/>
      <c r="Y408" s="357"/>
      <c r="Z408" s="357"/>
      <c r="AA408" s="357"/>
      <c r="AB408" s="357"/>
    </row>
    <row r="409" spans="1:28" s="322" customFormat="1" x14ac:dyDescent="0.3">
      <c r="A409" s="394"/>
      <c r="B409" s="472">
        <v>42</v>
      </c>
      <c r="C409" s="472"/>
      <c r="D409" s="472"/>
      <c r="E409" s="472"/>
      <c r="F409" s="472"/>
      <c r="G409" s="472"/>
      <c r="H409" s="472"/>
      <c r="I409" s="472"/>
      <c r="J409" s="395"/>
      <c r="K409" s="273" t="s">
        <v>23</v>
      </c>
      <c r="L409" s="379">
        <f>SUM(L410:L411)</f>
        <v>8453.43</v>
      </c>
      <c r="M409" s="379">
        <f>SUM(M410:M411)</f>
        <v>12621.119999999999</v>
      </c>
      <c r="N409" s="379">
        <f>SUM(N410:N411)</f>
        <v>4800</v>
      </c>
      <c r="O409" s="379">
        <f>SUM(O410:O411)</f>
        <v>12700</v>
      </c>
      <c r="P409" s="379">
        <f>SUM(P410:P411)</f>
        <v>12621.119999999999</v>
      </c>
      <c r="Q409" s="380">
        <f>IFERROR(SUM(P409/L409),0)</f>
        <v>1.493017627164358</v>
      </c>
      <c r="R409" s="380">
        <f>IFERROR(SUM(P409/M409),0)</f>
        <v>1</v>
      </c>
      <c r="S409" s="380">
        <f t="shared" si="76"/>
        <v>0.99378897637795272</v>
      </c>
      <c r="T409" s="381"/>
      <c r="U409" s="357"/>
      <c r="V409" s="357"/>
      <c r="W409" s="357"/>
      <c r="X409" s="357"/>
      <c r="Y409" s="357"/>
      <c r="Z409" s="357"/>
      <c r="AA409" s="357"/>
      <c r="AB409" s="357"/>
    </row>
    <row r="410" spans="1:28" s="336" customFormat="1" x14ac:dyDescent="0.3">
      <c r="A410" s="386">
        <v>178</v>
      </c>
      <c r="B410" s="471">
        <v>422</v>
      </c>
      <c r="C410" s="471"/>
      <c r="D410" s="471"/>
      <c r="E410" s="471"/>
      <c r="F410" s="471"/>
      <c r="G410" s="471"/>
      <c r="H410" s="471"/>
      <c r="I410" s="471"/>
      <c r="J410" s="388" t="s">
        <v>956</v>
      </c>
      <c r="K410" s="336" t="s">
        <v>782</v>
      </c>
      <c r="L410" s="389">
        <f>SUM('RASHODI ZA VIJEĆE'!E567)</f>
        <v>3716.14</v>
      </c>
      <c r="M410" s="389">
        <f>SUM('RASHODI ZA VIJEĆE'!F567)</f>
        <v>3716.14</v>
      </c>
      <c r="N410" s="389">
        <f>SUM('RASHODI ZA VIJEĆE'!G567)</f>
        <v>1900</v>
      </c>
      <c r="O410" s="389">
        <f>SUM('RASHODI ZA VIJEĆE'!H567)</f>
        <v>3800</v>
      </c>
      <c r="P410" s="389">
        <f>SUM('RASHODI ZA VIJEĆE'!I567)</f>
        <v>3716.14</v>
      </c>
      <c r="Q410" s="390">
        <f>IFERROR(SUM(P410/L410),0)</f>
        <v>1</v>
      </c>
      <c r="R410" s="390">
        <f>IFERROR(SUM(P410/M410),0)</f>
        <v>1</v>
      </c>
      <c r="S410" s="390">
        <f t="shared" si="76"/>
        <v>0.97793157894736837</v>
      </c>
      <c r="T410" s="406"/>
      <c r="U410" s="392"/>
      <c r="V410" s="392"/>
      <c r="W410" s="392"/>
      <c r="X410" s="392"/>
      <c r="Y410" s="392"/>
      <c r="Z410" s="392"/>
      <c r="AA410" s="392"/>
      <c r="AB410" s="392"/>
    </row>
    <row r="411" spans="1:28" s="336" customFormat="1" x14ac:dyDescent="0.3">
      <c r="A411" s="386">
        <v>179</v>
      </c>
      <c r="B411" s="471">
        <v>422</v>
      </c>
      <c r="C411" s="471"/>
      <c r="D411" s="471"/>
      <c r="E411" s="471"/>
      <c r="F411" s="471"/>
      <c r="G411" s="471"/>
      <c r="H411" s="471"/>
      <c r="I411" s="471"/>
      <c r="J411" s="388" t="s">
        <v>956</v>
      </c>
      <c r="K411" s="336" t="s">
        <v>94</v>
      </c>
      <c r="L411" s="389">
        <f>SUM('RASHODI ZA VIJEĆE'!E569)</f>
        <v>4737.29</v>
      </c>
      <c r="M411" s="389">
        <f>SUM('RASHODI ZA VIJEĆE'!F569)</f>
        <v>8904.98</v>
      </c>
      <c r="N411" s="389">
        <f>SUM('RASHODI ZA VIJEĆE'!G569)</f>
        <v>2900</v>
      </c>
      <c r="O411" s="389">
        <f>SUM('RASHODI ZA VIJEĆE'!H569)</f>
        <v>8900</v>
      </c>
      <c r="P411" s="389">
        <f>SUM('RASHODI ZA VIJEĆE'!I569)</f>
        <v>8904.98</v>
      </c>
      <c r="Q411" s="389">
        <f>SUM('RASHODI ZA VIJEĆE'!J569)</f>
        <v>0</v>
      </c>
      <c r="R411" s="389">
        <f>SUM('RASHODI ZA VIJEĆE'!K569)</f>
        <v>0</v>
      </c>
      <c r="S411" s="389">
        <f>SUM('RASHODI ZA VIJEĆE'!L569)</f>
        <v>0</v>
      </c>
      <c r="T411" s="391"/>
    </row>
    <row r="412" spans="1:28" s="336" customFormat="1" x14ac:dyDescent="0.3">
      <c r="A412" s="386"/>
      <c r="L412" s="437"/>
      <c r="M412" s="437"/>
      <c r="N412" s="389"/>
      <c r="O412" s="389"/>
      <c r="P412" s="389"/>
      <c r="Q412" s="389"/>
      <c r="R412" s="389"/>
      <c r="S412" s="389"/>
      <c r="T412" s="391"/>
    </row>
    <row r="413" spans="1:28" s="336" customFormat="1" x14ac:dyDescent="0.3">
      <c r="A413" s="386"/>
      <c r="I413" s="438" t="s">
        <v>530</v>
      </c>
      <c r="J413" s="438"/>
      <c r="L413" s="437"/>
      <c r="M413" s="437"/>
      <c r="N413" s="389"/>
      <c r="O413" s="389"/>
      <c r="P413" s="389"/>
      <c r="Q413" s="389"/>
      <c r="R413" s="389"/>
      <c r="S413" s="389"/>
      <c r="T413" s="391"/>
    </row>
    <row r="414" spans="1:28" s="336" customFormat="1" x14ac:dyDescent="0.3">
      <c r="A414" s="386"/>
      <c r="I414" s="438">
        <v>1</v>
      </c>
      <c r="J414" s="89" t="s">
        <v>531</v>
      </c>
      <c r="L414" s="437"/>
      <c r="M414" s="437"/>
      <c r="N414" s="389"/>
      <c r="O414" s="389"/>
      <c r="P414" s="389"/>
      <c r="Q414" s="389"/>
      <c r="R414" s="389"/>
      <c r="S414" s="389"/>
      <c r="T414" s="391"/>
    </row>
    <row r="415" spans="1:28" s="336" customFormat="1" x14ac:dyDescent="0.3">
      <c r="A415" s="386"/>
      <c r="I415" s="438">
        <v>2</v>
      </c>
      <c r="J415" s="89" t="s">
        <v>532</v>
      </c>
      <c r="L415" s="437"/>
      <c r="M415" s="437"/>
      <c r="N415" s="389"/>
      <c r="O415" s="389"/>
      <c r="P415" s="389"/>
      <c r="Q415" s="389"/>
      <c r="R415" s="389"/>
      <c r="S415" s="389"/>
      <c r="T415" s="391"/>
    </row>
    <row r="416" spans="1:28" s="336" customFormat="1" x14ac:dyDescent="0.3">
      <c r="A416" s="386"/>
      <c r="I416" s="438">
        <v>3</v>
      </c>
      <c r="J416" s="89" t="s">
        <v>533</v>
      </c>
      <c r="L416" s="437"/>
      <c r="M416" s="437"/>
      <c r="N416" s="389"/>
      <c r="O416" s="389"/>
      <c r="P416" s="389"/>
      <c r="Q416" s="389"/>
      <c r="R416" s="389"/>
      <c r="S416" s="389"/>
      <c r="T416" s="391"/>
    </row>
    <row r="417" spans="1:28" s="336" customFormat="1" x14ac:dyDescent="0.3">
      <c r="A417" s="386"/>
      <c r="I417" s="438">
        <v>4</v>
      </c>
      <c r="J417" s="89" t="s">
        <v>534</v>
      </c>
      <c r="L417" s="437"/>
      <c r="M417" s="437"/>
      <c r="N417" s="389"/>
      <c r="O417" s="389"/>
      <c r="P417" s="389"/>
      <c r="Q417" s="389"/>
      <c r="R417" s="389"/>
      <c r="S417" s="389"/>
      <c r="T417" s="391"/>
    </row>
    <row r="418" spans="1:28" s="336" customFormat="1" x14ac:dyDescent="0.3">
      <c r="A418" s="386"/>
      <c r="I418" s="438">
        <v>5</v>
      </c>
      <c r="J418" s="89" t="s">
        <v>535</v>
      </c>
      <c r="L418" s="437"/>
      <c r="M418" s="437"/>
      <c r="N418" s="389"/>
      <c r="O418" s="389"/>
      <c r="P418" s="389"/>
      <c r="Q418" s="389"/>
      <c r="R418" s="389"/>
      <c r="S418" s="389"/>
      <c r="T418" s="391"/>
    </row>
    <row r="419" spans="1:28" s="336" customFormat="1" x14ac:dyDescent="0.3">
      <c r="A419" s="386"/>
      <c r="I419" s="438">
        <v>6</v>
      </c>
      <c r="J419" s="89" t="s">
        <v>537</v>
      </c>
      <c r="L419" s="437"/>
      <c r="M419" s="437"/>
      <c r="N419" s="389"/>
      <c r="O419" s="389"/>
      <c r="P419" s="389"/>
      <c r="Q419" s="389"/>
      <c r="R419" s="389"/>
      <c r="S419" s="389"/>
      <c r="T419" s="391"/>
    </row>
    <row r="420" spans="1:28" s="336" customFormat="1" x14ac:dyDescent="0.3">
      <c r="A420" s="386"/>
      <c r="I420" s="438">
        <v>7</v>
      </c>
      <c r="J420" s="89" t="s">
        <v>538</v>
      </c>
      <c r="L420" s="437"/>
      <c r="M420" s="437"/>
      <c r="N420" s="389"/>
      <c r="O420" s="389"/>
      <c r="P420" s="389"/>
      <c r="Q420" s="389"/>
      <c r="R420" s="389"/>
      <c r="S420" s="389"/>
      <c r="T420" s="391"/>
    </row>
    <row r="421" spans="1:28" x14ac:dyDescent="0.3">
      <c r="I421" s="132"/>
      <c r="N421" s="290"/>
      <c r="O421" s="290"/>
      <c r="P421" s="290"/>
      <c r="Q421" s="290"/>
      <c r="R421" s="290"/>
      <c r="S421" s="290"/>
      <c r="U421" s="89"/>
      <c r="V421" s="89"/>
      <c r="W421" s="89"/>
      <c r="X421" s="89"/>
      <c r="Y421" s="89"/>
      <c r="Z421" s="89"/>
      <c r="AA421" s="89"/>
      <c r="AB421" s="89"/>
    </row>
    <row r="422" spans="1:28" x14ac:dyDescent="0.3">
      <c r="I422" s="473"/>
      <c r="J422" s="473"/>
      <c r="K422" s="473"/>
      <c r="L422" s="440"/>
      <c r="M422" s="440"/>
      <c r="N422" s="441"/>
      <c r="O422" s="441"/>
      <c r="P422" s="441"/>
      <c r="Q422" s="290"/>
      <c r="R422" s="290"/>
      <c r="S422" s="290"/>
      <c r="U422" s="89"/>
      <c r="V422" s="89"/>
      <c r="W422" s="89"/>
      <c r="X422" s="89"/>
      <c r="Y422" s="89"/>
      <c r="Z422" s="89"/>
      <c r="AA422" s="89"/>
      <c r="AB422" s="89"/>
    </row>
    <row r="423" spans="1:28" x14ac:dyDescent="0.3">
      <c r="N423" s="290"/>
      <c r="O423" s="290"/>
      <c r="P423" s="290"/>
      <c r="Q423" s="290"/>
      <c r="R423" s="290"/>
      <c r="S423" s="290"/>
      <c r="U423" s="89"/>
      <c r="V423" s="89"/>
      <c r="W423" s="89"/>
      <c r="X423" s="89"/>
      <c r="Y423" s="89"/>
      <c r="Z423" s="89"/>
      <c r="AA423" s="89"/>
      <c r="AB423" s="89"/>
    </row>
    <row r="424" spans="1:28" x14ac:dyDescent="0.3">
      <c r="L424" s="442"/>
      <c r="M424" s="442"/>
      <c r="N424" s="290"/>
      <c r="O424" s="290"/>
      <c r="P424" s="290"/>
      <c r="Q424" s="290"/>
      <c r="R424" s="290"/>
      <c r="S424" s="290"/>
      <c r="U424" s="89"/>
      <c r="V424" s="89"/>
      <c r="W424" s="89"/>
      <c r="X424" s="89"/>
      <c r="Y424" s="89"/>
      <c r="Z424" s="89"/>
      <c r="AA424" s="89"/>
      <c r="AB424" s="89"/>
    </row>
    <row r="425" spans="1:28" x14ac:dyDescent="0.3">
      <c r="N425" s="290"/>
      <c r="O425" s="290"/>
      <c r="P425" s="290"/>
      <c r="Q425" s="290"/>
      <c r="R425" s="290"/>
      <c r="S425" s="290"/>
      <c r="U425" s="89"/>
      <c r="V425" s="89"/>
      <c r="W425" s="89"/>
      <c r="X425" s="89"/>
      <c r="Y425" s="89"/>
      <c r="Z425" s="89"/>
      <c r="AA425" s="89"/>
      <c r="AB425" s="89"/>
    </row>
    <row r="426" spans="1:28" x14ac:dyDescent="0.3">
      <c r="L426" s="308"/>
      <c r="N426" s="290"/>
      <c r="O426" s="290"/>
      <c r="P426" s="290"/>
      <c r="Q426" s="290"/>
      <c r="R426" s="290"/>
      <c r="S426" s="290"/>
      <c r="U426" s="89"/>
      <c r="V426" s="89"/>
      <c r="W426" s="89"/>
      <c r="X426" s="89"/>
      <c r="Y426" s="89"/>
      <c r="Z426" s="89"/>
      <c r="AA426" s="89"/>
      <c r="AB426" s="89"/>
    </row>
    <row r="427" spans="1:28" x14ac:dyDescent="0.3">
      <c r="N427" s="290"/>
      <c r="O427" s="290"/>
      <c r="P427" s="290"/>
      <c r="Q427" s="290"/>
      <c r="R427" s="290"/>
      <c r="S427" s="290"/>
      <c r="U427" s="89"/>
      <c r="V427" s="89"/>
      <c r="W427" s="89"/>
      <c r="X427" s="89"/>
      <c r="Y427" s="89"/>
      <c r="Z427" s="89"/>
      <c r="AA427" s="89"/>
      <c r="AB427" s="89"/>
    </row>
    <row r="428" spans="1:28" x14ac:dyDescent="0.3">
      <c r="N428" s="290"/>
      <c r="O428" s="290"/>
      <c r="P428" s="290"/>
      <c r="Q428" s="290"/>
      <c r="R428" s="290"/>
      <c r="S428" s="290"/>
      <c r="U428" s="89"/>
      <c r="V428" s="89"/>
      <c r="W428" s="89"/>
      <c r="X428" s="89"/>
      <c r="Y428" s="89"/>
      <c r="Z428" s="89"/>
      <c r="AA428" s="89"/>
      <c r="AB428" s="89"/>
    </row>
    <row r="429" spans="1:28" x14ac:dyDescent="0.3">
      <c r="N429" s="290"/>
      <c r="O429" s="290"/>
      <c r="P429" s="290"/>
      <c r="Q429" s="290"/>
      <c r="R429" s="290"/>
      <c r="S429" s="290"/>
      <c r="U429" s="89"/>
      <c r="V429" s="89"/>
      <c r="W429" s="89"/>
      <c r="X429" s="89"/>
      <c r="Y429" s="89"/>
      <c r="Z429" s="89"/>
      <c r="AA429" s="89"/>
      <c r="AB429" s="89"/>
    </row>
    <row r="430" spans="1:28" x14ac:dyDescent="0.3">
      <c r="N430" s="290"/>
      <c r="O430" s="290"/>
      <c r="P430" s="290"/>
      <c r="Q430" s="290"/>
      <c r="R430" s="290"/>
      <c r="S430" s="290"/>
      <c r="U430" s="89"/>
      <c r="V430" s="89"/>
      <c r="W430" s="89"/>
      <c r="X430" s="89"/>
      <c r="Y430" s="89"/>
      <c r="Z430" s="89"/>
      <c r="AA430" s="89"/>
      <c r="AB430" s="89"/>
    </row>
    <row r="431" spans="1:28" x14ac:dyDescent="0.3">
      <c r="M431" s="307"/>
      <c r="N431" s="290"/>
      <c r="O431" s="290"/>
      <c r="P431" s="290"/>
      <c r="Q431" s="290"/>
      <c r="R431" s="290"/>
      <c r="S431" s="290"/>
      <c r="T431" s="89"/>
      <c r="U431" s="89"/>
      <c r="V431" s="89"/>
      <c r="W431" s="89"/>
      <c r="X431" s="89"/>
      <c r="Y431" s="89"/>
      <c r="Z431" s="89"/>
      <c r="AA431" s="89"/>
      <c r="AB431" s="89"/>
    </row>
    <row r="432" spans="1:28" x14ac:dyDescent="0.3">
      <c r="M432" s="307"/>
      <c r="N432" s="290"/>
      <c r="O432" s="290"/>
      <c r="P432" s="290"/>
      <c r="Q432" s="290"/>
      <c r="R432" s="290"/>
      <c r="S432" s="290"/>
      <c r="T432" s="89"/>
      <c r="U432" s="89"/>
      <c r="V432" s="89"/>
      <c r="W432" s="89"/>
      <c r="X432" s="89"/>
      <c r="Y432" s="89"/>
      <c r="Z432" s="89"/>
      <c r="AA432" s="89"/>
      <c r="AB432" s="89"/>
    </row>
    <row r="433" spans="13:28" x14ac:dyDescent="0.3">
      <c r="M433" s="307"/>
      <c r="N433" s="290"/>
      <c r="O433" s="290"/>
      <c r="P433" s="290"/>
      <c r="Q433" s="290"/>
      <c r="R433" s="290"/>
      <c r="S433" s="290"/>
      <c r="T433" s="89"/>
      <c r="U433" s="89"/>
      <c r="V433" s="89"/>
      <c r="W433" s="89"/>
      <c r="X433" s="89"/>
      <c r="Y433" s="89"/>
      <c r="Z433" s="89"/>
      <c r="AA433" s="89"/>
      <c r="AB433" s="89"/>
    </row>
    <row r="434" spans="13:28" x14ac:dyDescent="0.3">
      <c r="M434" s="307"/>
      <c r="N434" s="290"/>
      <c r="O434" s="290"/>
      <c r="P434" s="290"/>
      <c r="Q434" s="290"/>
      <c r="R434" s="290"/>
      <c r="S434" s="290"/>
      <c r="T434" s="89"/>
      <c r="U434" s="89"/>
      <c r="V434" s="89"/>
      <c r="W434" s="89"/>
      <c r="X434" s="89"/>
      <c r="Y434" s="89"/>
      <c r="Z434" s="89"/>
      <c r="AA434" s="89"/>
      <c r="AB434" s="89"/>
    </row>
    <row r="435" spans="13:28" x14ac:dyDescent="0.3">
      <c r="M435" s="307"/>
      <c r="N435" s="290"/>
      <c r="O435" s="290"/>
      <c r="P435" s="290"/>
      <c r="Q435" s="290"/>
      <c r="R435" s="290"/>
      <c r="S435" s="290"/>
      <c r="T435" s="89"/>
      <c r="U435" s="89"/>
      <c r="V435" s="89"/>
      <c r="W435" s="89"/>
      <c r="X435" s="89"/>
      <c r="Y435" s="89"/>
      <c r="Z435" s="89"/>
      <c r="AA435" s="89"/>
      <c r="AB435" s="89"/>
    </row>
    <row r="436" spans="13:28" x14ac:dyDescent="0.3">
      <c r="M436" s="307"/>
      <c r="N436" s="290"/>
      <c r="O436" s="290"/>
      <c r="P436" s="290"/>
      <c r="Q436" s="290"/>
      <c r="R436" s="290"/>
      <c r="S436" s="290"/>
      <c r="T436" s="89"/>
      <c r="U436" s="89"/>
      <c r="V436" s="89"/>
      <c r="W436" s="89"/>
      <c r="X436" s="89"/>
      <c r="Y436" s="89"/>
      <c r="Z436" s="89"/>
      <c r="AA436" s="89"/>
      <c r="AB436" s="89"/>
    </row>
    <row r="437" spans="13:28" x14ac:dyDescent="0.3">
      <c r="M437" s="307"/>
      <c r="N437" s="290"/>
      <c r="O437" s="290"/>
      <c r="P437" s="290"/>
      <c r="Q437" s="290"/>
      <c r="R437" s="290"/>
      <c r="S437" s="290"/>
      <c r="T437" s="89"/>
      <c r="U437" s="89"/>
      <c r="V437" s="89"/>
      <c r="W437" s="89"/>
      <c r="X437" s="89"/>
      <c r="Y437" s="89"/>
      <c r="Z437" s="89"/>
      <c r="AA437" s="89"/>
      <c r="AB437" s="89"/>
    </row>
    <row r="438" spans="13:28" x14ac:dyDescent="0.3">
      <c r="M438" s="307"/>
      <c r="N438" s="290"/>
      <c r="O438" s="290"/>
      <c r="P438" s="290"/>
      <c r="Q438" s="290"/>
      <c r="R438" s="290"/>
      <c r="S438" s="290"/>
      <c r="T438" s="89"/>
      <c r="U438" s="89"/>
      <c r="V438" s="89"/>
      <c r="W438" s="89"/>
      <c r="X438" s="89"/>
      <c r="Y438" s="89"/>
      <c r="Z438" s="89"/>
      <c r="AA438" s="89"/>
      <c r="AB438" s="89"/>
    </row>
    <row r="439" spans="13:28" x14ac:dyDescent="0.3">
      <c r="M439" s="307"/>
      <c r="N439" s="290"/>
      <c r="O439" s="290"/>
      <c r="P439" s="290"/>
      <c r="Q439" s="290"/>
      <c r="R439" s="290"/>
      <c r="S439" s="290"/>
      <c r="T439" s="89"/>
      <c r="U439" s="89"/>
      <c r="V439" s="89"/>
      <c r="W439" s="89"/>
      <c r="X439" s="89"/>
      <c r="Y439" s="89"/>
      <c r="Z439" s="89"/>
      <c r="AA439" s="89"/>
      <c r="AB439" s="89"/>
    </row>
    <row r="440" spans="13:28" x14ac:dyDescent="0.3">
      <c r="M440" s="307"/>
      <c r="N440" s="290"/>
      <c r="O440" s="290"/>
      <c r="P440" s="290"/>
      <c r="Q440" s="290"/>
      <c r="R440" s="290"/>
      <c r="S440" s="290"/>
      <c r="T440" s="89"/>
      <c r="U440" s="89"/>
      <c r="V440" s="89"/>
      <c r="W440" s="89"/>
      <c r="X440" s="89"/>
      <c r="Y440" s="89"/>
      <c r="Z440" s="89"/>
      <c r="AA440" s="89"/>
      <c r="AB440" s="89"/>
    </row>
    <row r="441" spans="13:28" x14ac:dyDescent="0.3">
      <c r="M441" s="307"/>
      <c r="N441" s="290"/>
      <c r="O441" s="290"/>
      <c r="P441" s="290"/>
      <c r="Q441" s="290"/>
      <c r="R441" s="290"/>
      <c r="S441" s="290"/>
      <c r="T441" s="89"/>
      <c r="U441" s="89"/>
      <c r="V441" s="89"/>
      <c r="W441" s="89"/>
      <c r="X441" s="89"/>
      <c r="Y441" s="89"/>
      <c r="Z441" s="89"/>
      <c r="AA441" s="89"/>
      <c r="AB441" s="89"/>
    </row>
    <row r="442" spans="13:28" x14ac:dyDescent="0.3">
      <c r="M442" s="307"/>
      <c r="N442" s="290"/>
      <c r="O442" s="290"/>
      <c r="P442" s="290"/>
      <c r="Q442" s="290"/>
      <c r="R442" s="290"/>
      <c r="S442" s="290"/>
      <c r="T442" s="89"/>
      <c r="U442" s="89"/>
      <c r="V442" s="89"/>
      <c r="W442" s="89"/>
      <c r="X442" s="89"/>
      <c r="Y442" s="89"/>
      <c r="Z442" s="89"/>
      <c r="AA442" s="89"/>
      <c r="AB442" s="89"/>
    </row>
    <row r="443" spans="13:28" x14ac:dyDescent="0.3">
      <c r="M443" s="307"/>
      <c r="N443" s="290"/>
      <c r="O443" s="290"/>
      <c r="P443" s="290"/>
      <c r="Q443" s="290"/>
      <c r="R443" s="290"/>
      <c r="S443" s="290"/>
      <c r="T443" s="89"/>
      <c r="U443" s="89"/>
      <c r="V443" s="89"/>
      <c r="W443" s="89"/>
      <c r="X443" s="89"/>
      <c r="Y443" s="89"/>
      <c r="Z443" s="89"/>
      <c r="AA443" s="89"/>
      <c r="AB443" s="89"/>
    </row>
    <row r="444" spans="13:28" x14ac:dyDescent="0.3">
      <c r="M444" s="307"/>
      <c r="N444" s="290"/>
      <c r="O444" s="290"/>
      <c r="P444" s="290"/>
      <c r="Q444" s="290"/>
      <c r="R444" s="290"/>
      <c r="S444" s="290"/>
      <c r="T444" s="89"/>
      <c r="U444" s="89"/>
      <c r="V444" s="89"/>
      <c r="W444" s="89"/>
      <c r="X444" s="89"/>
      <c r="Y444" s="89"/>
      <c r="Z444" s="89"/>
      <c r="AA444" s="89"/>
      <c r="AB444" s="89"/>
    </row>
    <row r="445" spans="13:28" x14ac:dyDescent="0.3">
      <c r="M445" s="307"/>
      <c r="N445" s="290"/>
      <c r="O445" s="290"/>
      <c r="P445" s="290"/>
      <c r="Q445" s="290"/>
      <c r="R445" s="290"/>
      <c r="S445" s="290"/>
      <c r="T445" s="89"/>
      <c r="U445" s="89"/>
      <c r="V445" s="89"/>
      <c r="W445" s="89"/>
      <c r="X445" s="89"/>
      <c r="Y445" s="89"/>
      <c r="Z445" s="89"/>
      <c r="AA445" s="89"/>
      <c r="AB445" s="89"/>
    </row>
    <row r="446" spans="13:28" x14ac:dyDescent="0.3">
      <c r="M446" s="307"/>
      <c r="N446" s="290"/>
      <c r="O446" s="290"/>
      <c r="P446" s="290"/>
      <c r="Q446" s="290"/>
      <c r="R446" s="290"/>
      <c r="S446" s="290"/>
      <c r="T446" s="89"/>
      <c r="U446" s="89"/>
      <c r="V446" s="89"/>
      <c r="W446" s="89"/>
      <c r="X446" s="89"/>
      <c r="Y446" s="89"/>
      <c r="Z446" s="89"/>
      <c r="AA446" s="89"/>
      <c r="AB446" s="89"/>
    </row>
    <row r="447" spans="13:28" x14ac:dyDescent="0.3">
      <c r="M447" s="307"/>
      <c r="N447" s="290"/>
      <c r="O447" s="290"/>
      <c r="P447" s="290"/>
      <c r="Q447" s="290"/>
      <c r="R447" s="290"/>
      <c r="S447" s="290"/>
      <c r="T447" s="89"/>
      <c r="U447" s="89"/>
      <c r="V447" s="89"/>
      <c r="W447" s="89"/>
      <c r="X447" s="89"/>
      <c r="Y447" s="89"/>
      <c r="Z447" s="89"/>
      <c r="AA447" s="89"/>
      <c r="AB447" s="89"/>
    </row>
    <row r="448" spans="13:28" x14ac:dyDescent="0.3">
      <c r="M448" s="307"/>
      <c r="N448" s="290"/>
      <c r="O448" s="290"/>
      <c r="P448" s="290"/>
      <c r="Q448" s="290"/>
      <c r="R448" s="290"/>
      <c r="S448" s="290"/>
      <c r="T448" s="89"/>
      <c r="U448" s="89"/>
      <c r="V448" s="89"/>
      <c r="W448" s="89"/>
      <c r="X448" s="89"/>
      <c r="Y448" s="89"/>
      <c r="Z448" s="89"/>
      <c r="AA448" s="89"/>
      <c r="AB448" s="89"/>
    </row>
    <row r="449" spans="13:28" x14ac:dyDescent="0.3">
      <c r="M449" s="307"/>
      <c r="N449" s="290"/>
      <c r="O449" s="290"/>
      <c r="P449" s="290"/>
      <c r="Q449" s="290"/>
      <c r="R449" s="290"/>
      <c r="S449" s="290"/>
      <c r="T449" s="89"/>
      <c r="U449" s="89"/>
      <c r="V449" s="89"/>
      <c r="W449" s="89"/>
      <c r="X449" s="89"/>
      <c r="Y449" s="89"/>
      <c r="Z449" s="89"/>
      <c r="AA449" s="89"/>
      <c r="AB449" s="89"/>
    </row>
    <row r="450" spans="13:28" x14ac:dyDescent="0.3">
      <c r="M450" s="307"/>
      <c r="N450" s="290"/>
      <c r="O450" s="290"/>
      <c r="P450" s="290"/>
      <c r="Q450" s="290"/>
      <c r="R450" s="290"/>
      <c r="S450" s="290"/>
      <c r="T450" s="89"/>
      <c r="U450" s="89"/>
      <c r="V450" s="89"/>
      <c r="W450" s="89"/>
      <c r="X450" s="89"/>
      <c r="Y450" s="89"/>
      <c r="Z450" s="89"/>
      <c r="AA450" s="89"/>
      <c r="AB450" s="89"/>
    </row>
    <row r="451" spans="13:28" x14ac:dyDescent="0.3">
      <c r="M451" s="307"/>
      <c r="N451" s="290"/>
      <c r="O451" s="290"/>
      <c r="P451" s="290"/>
      <c r="Q451" s="290"/>
      <c r="R451" s="290"/>
      <c r="S451" s="290"/>
      <c r="T451" s="89"/>
      <c r="U451" s="89"/>
      <c r="V451" s="89"/>
      <c r="W451" s="89"/>
      <c r="X451" s="89"/>
      <c r="Y451" s="89"/>
      <c r="Z451" s="89"/>
      <c r="AA451" s="89"/>
      <c r="AB451" s="89"/>
    </row>
    <row r="452" spans="13:28" x14ac:dyDescent="0.3">
      <c r="M452" s="307"/>
      <c r="N452" s="290"/>
      <c r="O452" s="290"/>
      <c r="P452" s="290"/>
      <c r="Q452" s="290"/>
      <c r="R452" s="290"/>
      <c r="S452" s="290"/>
      <c r="T452" s="89"/>
      <c r="U452" s="89"/>
      <c r="V452" s="89"/>
      <c r="W452" s="89"/>
      <c r="X452" s="89"/>
      <c r="Y452" s="89"/>
      <c r="Z452" s="89"/>
      <c r="AA452" s="89"/>
      <c r="AB452" s="89"/>
    </row>
    <row r="453" spans="13:28" x14ac:dyDescent="0.3">
      <c r="M453" s="307"/>
      <c r="N453" s="290"/>
      <c r="O453" s="290"/>
      <c r="P453" s="290"/>
      <c r="Q453" s="290"/>
      <c r="R453" s="290"/>
      <c r="S453" s="290"/>
      <c r="T453" s="89"/>
      <c r="U453" s="89"/>
      <c r="V453" s="89"/>
      <c r="W453" s="89"/>
      <c r="X453" s="89"/>
      <c r="Y453" s="89"/>
      <c r="Z453" s="89"/>
      <c r="AA453" s="89"/>
      <c r="AB453" s="89"/>
    </row>
    <row r="454" spans="13:28" x14ac:dyDescent="0.3">
      <c r="M454" s="307"/>
      <c r="N454" s="290"/>
      <c r="O454" s="290"/>
      <c r="P454" s="290"/>
      <c r="Q454" s="290"/>
      <c r="R454" s="290"/>
      <c r="S454" s="290"/>
      <c r="T454" s="89"/>
      <c r="U454" s="89"/>
      <c r="V454" s="89"/>
      <c r="W454" s="89"/>
      <c r="X454" s="89"/>
      <c r="Y454" s="89"/>
      <c r="Z454" s="89"/>
      <c r="AA454" s="89"/>
      <c r="AB454" s="89"/>
    </row>
    <row r="455" spans="13:28" x14ac:dyDescent="0.3">
      <c r="M455" s="307"/>
      <c r="N455" s="290"/>
      <c r="O455" s="290"/>
      <c r="P455" s="290"/>
      <c r="Q455" s="290"/>
      <c r="R455" s="290"/>
      <c r="S455" s="290"/>
      <c r="T455" s="89"/>
      <c r="U455" s="89"/>
      <c r="V455" s="89"/>
      <c r="W455" s="89"/>
      <c r="X455" s="89"/>
      <c r="Y455" s="89"/>
      <c r="Z455" s="89"/>
      <c r="AA455" s="89"/>
      <c r="AB455" s="89"/>
    </row>
    <row r="456" spans="13:28" x14ac:dyDescent="0.3">
      <c r="M456" s="307"/>
      <c r="N456" s="290"/>
      <c r="O456" s="290"/>
      <c r="P456" s="290"/>
      <c r="Q456" s="290"/>
      <c r="R456" s="290"/>
      <c r="S456" s="290"/>
      <c r="T456" s="89"/>
      <c r="U456" s="89"/>
      <c r="V456" s="89"/>
      <c r="W456" s="89"/>
      <c r="X456" s="89"/>
      <c r="Y456" s="89"/>
      <c r="Z456" s="89"/>
      <c r="AA456" s="89"/>
      <c r="AB456" s="89"/>
    </row>
    <row r="457" spans="13:28" x14ac:dyDescent="0.3">
      <c r="M457" s="307"/>
      <c r="N457" s="290"/>
      <c r="O457" s="290"/>
      <c r="P457" s="290"/>
      <c r="Q457" s="290"/>
      <c r="R457" s="290"/>
      <c r="S457" s="290"/>
      <c r="T457" s="89"/>
      <c r="U457" s="89"/>
      <c r="V457" s="89"/>
      <c r="W457" s="89"/>
      <c r="X457" s="89"/>
      <c r="Y457" s="89"/>
      <c r="Z457" s="89"/>
      <c r="AA457" s="89"/>
      <c r="AB457" s="89"/>
    </row>
    <row r="458" spans="13:28" x14ac:dyDescent="0.3">
      <c r="M458" s="307"/>
      <c r="N458" s="290"/>
      <c r="O458" s="290"/>
      <c r="P458" s="290"/>
      <c r="Q458" s="290"/>
      <c r="R458" s="290"/>
      <c r="S458" s="290"/>
      <c r="T458" s="89"/>
      <c r="U458" s="89"/>
      <c r="V458" s="89"/>
      <c r="W458" s="89"/>
      <c r="X458" s="89"/>
      <c r="Y458" s="89"/>
      <c r="Z458" s="89"/>
      <c r="AA458" s="89"/>
      <c r="AB458" s="89"/>
    </row>
    <row r="459" spans="13:28" x14ac:dyDescent="0.3">
      <c r="M459" s="307"/>
      <c r="N459" s="290"/>
      <c r="O459" s="290"/>
      <c r="P459" s="290"/>
      <c r="Q459" s="290"/>
      <c r="R459" s="290"/>
      <c r="S459" s="290"/>
      <c r="T459" s="89"/>
      <c r="U459" s="89"/>
      <c r="V459" s="89"/>
      <c r="W459" s="89"/>
      <c r="X459" s="89"/>
      <c r="Y459" s="89"/>
      <c r="Z459" s="89"/>
      <c r="AA459" s="89"/>
      <c r="AB459" s="89"/>
    </row>
    <row r="460" spans="13:28" x14ac:dyDescent="0.3">
      <c r="M460" s="307"/>
      <c r="N460" s="290"/>
      <c r="O460" s="290"/>
      <c r="P460" s="290"/>
      <c r="Q460" s="290"/>
      <c r="R460" s="290"/>
      <c r="S460" s="290"/>
      <c r="T460" s="89"/>
      <c r="U460" s="89"/>
      <c r="V460" s="89"/>
      <c r="W460" s="89"/>
      <c r="X460" s="89"/>
      <c r="Y460" s="89"/>
      <c r="Z460" s="89"/>
      <c r="AA460" s="89"/>
      <c r="AB460" s="89"/>
    </row>
    <row r="461" spans="13:28" x14ac:dyDescent="0.3">
      <c r="M461" s="307"/>
      <c r="N461" s="290"/>
      <c r="O461" s="290"/>
      <c r="P461" s="290"/>
      <c r="Q461" s="290"/>
      <c r="R461" s="290"/>
      <c r="S461" s="290"/>
      <c r="T461" s="89"/>
      <c r="U461" s="89"/>
      <c r="V461" s="89"/>
      <c r="W461" s="89"/>
      <c r="X461" s="89"/>
      <c r="Y461" s="89"/>
      <c r="Z461" s="89"/>
      <c r="AA461" s="89"/>
      <c r="AB461" s="89"/>
    </row>
    <row r="462" spans="13:28" x14ac:dyDescent="0.3">
      <c r="M462" s="307"/>
      <c r="N462" s="290"/>
      <c r="O462" s="290"/>
      <c r="P462" s="290"/>
      <c r="Q462" s="290"/>
      <c r="R462" s="290"/>
      <c r="S462" s="290"/>
      <c r="T462" s="89"/>
      <c r="U462" s="89"/>
      <c r="V462" s="89"/>
      <c r="W462" s="89"/>
      <c r="X462" s="89"/>
      <c r="Y462" s="89"/>
      <c r="Z462" s="89"/>
      <c r="AA462" s="89"/>
      <c r="AB462" s="89"/>
    </row>
    <row r="463" spans="13:28" x14ac:dyDescent="0.3">
      <c r="M463" s="307"/>
      <c r="N463" s="290"/>
      <c r="O463" s="290"/>
      <c r="P463" s="290"/>
      <c r="Q463" s="290"/>
      <c r="R463" s="290"/>
      <c r="S463" s="290"/>
      <c r="T463" s="89"/>
      <c r="U463" s="89"/>
      <c r="V463" s="89"/>
      <c r="W463" s="89"/>
      <c r="X463" s="89"/>
      <c r="Y463" s="89"/>
      <c r="Z463" s="89"/>
      <c r="AA463" s="89"/>
      <c r="AB463" s="89"/>
    </row>
    <row r="464" spans="13:28" x14ac:dyDescent="0.3">
      <c r="M464" s="307"/>
      <c r="N464" s="290"/>
      <c r="O464" s="290"/>
      <c r="P464" s="290"/>
      <c r="Q464" s="290"/>
      <c r="R464" s="290"/>
      <c r="S464" s="290"/>
      <c r="T464" s="89"/>
      <c r="U464" s="89"/>
      <c r="V464" s="89"/>
      <c r="W464" s="89"/>
      <c r="X464" s="89"/>
      <c r="Y464" s="89"/>
      <c r="Z464" s="89"/>
      <c r="AA464" s="89"/>
      <c r="AB464" s="89"/>
    </row>
    <row r="465" spans="13:28" x14ac:dyDescent="0.3">
      <c r="M465" s="307"/>
      <c r="N465" s="290"/>
      <c r="O465" s="290"/>
      <c r="P465" s="290"/>
      <c r="Q465" s="290"/>
      <c r="R465" s="290"/>
      <c r="S465" s="290"/>
      <c r="T465" s="89"/>
      <c r="U465" s="89"/>
      <c r="V465" s="89"/>
      <c r="W465" s="89"/>
      <c r="X465" s="89"/>
      <c r="Y465" s="89"/>
      <c r="Z465" s="89"/>
      <c r="AA465" s="89"/>
      <c r="AB465" s="89"/>
    </row>
    <row r="466" spans="13:28" x14ac:dyDescent="0.3">
      <c r="M466" s="307"/>
      <c r="N466" s="290"/>
      <c r="O466" s="290"/>
      <c r="P466" s="290"/>
      <c r="Q466" s="290"/>
      <c r="R466" s="290"/>
      <c r="S466" s="290"/>
      <c r="T466" s="89"/>
      <c r="U466" s="89"/>
      <c r="V466" s="89"/>
      <c r="W466" s="89"/>
      <c r="X466" s="89"/>
      <c r="Y466" s="89"/>
      <c r="Z466" s="89"/>
      <c r="AA466" s="89"/>
      <c r="AB466" s="89"/>
    </row>
    <row r="467" spans="13:28" x14ac:dyDescent="0.3">
      <c r="M467" s="307"/>
      <c r="N467" s="290"/>
      <c r="O467" s="290"/>
      <c r="P467" s="290"/>
      <c r="Q467" s="290"/>
      <c r="R467" s="290"/>
      <c r="S467" s="290"/>
      <c r="T467" s="89"/>
      <c r="U467" s="89"/>
      <c r="V467" s="89"/>
      <c r="W467" s="89"/>
      <c r="X467" s="89"/>
      <c r="Y467" s="89"/>
      <c r="Z467" s="89"/>
      <c r="AA467" s="89"/>
      <c r="AB467" s="89"/>
    </row>
    <row r="468" spans="13:28" x14ac:dyDescent="0.3">
      <c r="M468" s="307"/>
      <c r="N468" s="290"/>
      <c r="O468" s="290"/>
      <c r="P468" s="290"/>
      <c r="Q468" s="290"/>
      <c r="R468" s="290"/>
      <c r="S468" s="290"/>
      <c r="T468" s="89"/>
      <c r="U468" s="89"/>
      <c r="V468" s="89"/>
      <c r="W468" s="89"/>
      <c r="X468" s="89"/>
      <c r="Y468" s="89"/>
      <c r="Z468" s="89"/>
      <c r="AA468" s="89"/>
      <c r="AB468" s="89"/>
    </row>
    <row r="469" spans="13:28" x14ac:dyDescent="0.3">
      <c r="M469" s="307"/>
      <c r="N469" s="290"/>
      <c r="O469" s="290"/>
      <c r="P469" s="290"/>
      <c r="Q469" s="290"/>
      <c r="R469" s="290"/>
      <c r="S469" s="290"/>
      <c r="T469" s="89"/>
      <c r="U469" s="89"/>
      <c r="V469" s="89"/>
      <c r="W469" s="89"/>
      <c r="X469" s="89"/>
      <c r="Y469" s="89"/>
      <c r="Z469" s="89"/>
      <c r="AA469" s="89"/>
      <c r="AB469" s="89"/>
    </row>
    <row r="470" spans="13:28" x14ac:dyDescent="0.3">
      <c r="M470" s="307"/>
      <c r="N470" s="290"/>
      <c r="O470" s="290"/>
      <c r="P470" s="290"/>
      <c r="Q470" s="290"/>
      <c r="R470" s="290"/>
      <c r="S470" s="290"/>
      <c r="T470" s="89"/>
      <c r="U470" s="89"/>
      <c r="V470" s="89"/>
      <c r="W470" s="89"/>
      <c r="X470" s="89"/>
      <c r="Y470" s="89"/>
      <c r="Z470" s="89"/>
      <c r="AA470" s="89"/>
      <c r="AB470" s="89"/>
    </row>
    <row r="471" spans="13:28" x14ac:dyDescent="0.3">
      <c r="M471" s="307"/>
      <c r="N471" s="290"/>
      <c r="O471" s="290"/>
      <c r="P471" s="290"/>
      <c r="Q471" s="290"/>
      <c r="R471" s="290"/>
      <c r="S471" s="290"/>
      <c r="T471" s="89"/>
      <c r="U471" s="89"/>
      <c r="V471" s="89"/>
      <c r="W471" s="89"/>
      <c r="X471" s="89"/>
      <c r="Y471" s="89"/>
      <c r="Z471" s="89"/>
      <c r="AA471" s="89"/>
      <c r="AB471" s="89"/>
    </row>
    <row r="472" spans="13:28" x14ac:dyDescent="0.3">
      <c r="M472" s="307"/>
      <c r="N472" s="290"/>
      <c r="O472" s="290"/>
      <c r="P472" s="290"/>
      <c r="Q472" s="290"/>
      <c r="R472" s="290"/>
      <c r="S472" s="290"/>
      <c r="T472" s="89"/>
      <c r="U472" s="89"/>
      <c r="V472" s="89"/>
      <c r="W472" s="89"/>
      <c r="X472" s="89"/>
      <c r="Y472" s="89"/>
      <c r="Z472" s="89"/>
      <c r="AA472" s="89"/>
      <c r="AB472" s="89"/>
    </row>
    <row r="473" spans="13:28" x14ac:dyDescent="0.3">
      <c r="M473" s="307"/>
      <c r="N473" s="290"/>
      <c r="O473" s="290"/>
      <c r="P473" s="290"/>
      <c r="Q473" s="290"/>
      <c r="R473" s="290"/>
      <c r="S473" s="290"/>
      <c r="T473" s="89"/>
      <c r="U473" s="89"/>
      <c r="V473" s="89"/>
      <c r="W473" s="89"/>
      <c r="X473" s="89"/>
      <c r="Y473" s="89"/>
      <c r="Z473" s="89"/>
      <c r="AA473" s="89"/>
      <c r="AB473" s="89"/>
    </row>
    <row r="474" spans="13:28" x14ac:dyDescent="0.3">
      <c r="M474" s="307"/>
      <c r="N474" s="290"/>
      <c r="O474" s="290"/>
      <c r="P474" s="290"/>
      <c r="Q474" s="290"/>
      <c r="R474" s="290"/>
      <c r="S474" s="290"/>
      <c r="T474" s="89"/>
      <c r="U474" s="89"/>
      <c r="V474" s="89"/>
      <c r="W474" s="89"/>
      <c r="X474" s="89"/>
      <c r="Y474" s="89"/>
      <c r="Z474" s="89"/>
      <c r="AA474" s="89"/>
      <c r="AB474" s="89"/>
    </row>
    <row r="475" spans="13:28" x14ac:dyDescent="0.3">
      <c r="M475" s="307"/>
      <c r="N475" s="290"/>
      <c r="O475" s="290"/>
      <c r="P475" s="290"/>
      <c r="Q475" s="290"/>
      <c r="R475" s="290"/>
      <c r="S475" s="290"/>
      <c r="T475" s="89"/>
      <c r="U475" s="89"/>
      <c r="V475" s="89"/>
      <c r="W475" s="89"/>
      <c r="X475" s="89"/>
      <c r="Y475" s="89"/>
      <c r="Z475" s="89"/>
      <c r="AA475" s="89"/>
      <c r="AB475" s="89"/>
    </row>
    <row r="476" spans="13:28" x14ac:dyDescent="0.3">
      <c r="M476" s="307"/>
      <c r="N476" s="290"/>
      <c r="O476" s="290"/>
      <c r="P476" s="290"/>
      <c r="Q476" s="290"/>
      <c r="R476" s="290"/>
      <c r="S476" s="290"/>
      <c r="T476" s="89"/>
      <c r="U476" s="89"/>
      <c r="V476" s="89"/>
      <c r="W476" s="89"/>
      <c r="X476" s="89"/>
      <c r="Y476" s="89"/>
      <c r="Z476" s="89"/>
      <c r="AA476" s="89"/>
      <c r="AB476" s="89"/>
    </row>
    <row r="477" spans="13:28" x14ac:dyDescent="0.3">
      <c r="M477" s="307"/>
      <c r="N477" s="290"/>
      <c r="O477" s="290"/>
      <c r="P477" s="290"/>
      <c r="Q477" s="290"/>
      <c r="R477" s="290"/>
      <c r="S477" s="290"/>
      <c r="T477" s="89"/>
      <c r="U477" s="89"/>
      <c r="V477" s="89"/>
      <c r="W477" s="89"/>
      <c r="X477" s="89"/>
      <c r="Y477" s="89"/>
      <c r="Z477" s="89"/>
      <c r="AA477" s="89"/>
      <c r="AB477" s="89"/>
    </row>
    <row r="478" spans="13:28" x14ac:dyDescent="0.3">
      <c r="M478" s="307"/>
      <c r="N478" s="290"/>
      <c r="O478" s="290"/>
      <c r="P478" s="290"/>
      <c r="Q478" s="290"/>
      <c r="R478" s="290"/>
      <c r="S478" s="290"/>
      <c r="T478" s="89"/>
      <c r="U478" s="89"/>
      <c r="V478" s="89"/>
      <c r="W478" s="89"/>
      <c r="X478" s="89"/>
      <c r="Y478" s="89"/>
      <c r="Z478" s="89"/>
      <c r="AA478" s="89"/>
      <c r="AB478" s="89"/>
    </row>
    <row r="479" spans="13:28" x14ac:dyDescent="0.3">
      <c r="M479" s="307"/>
      <c r="N479" s="290"/>
      <c r="O479" s="290"/>
      <c r="P479" s="290"/>
      <c r="Q479" s="290"/>
      <c r="R479" s="290"/>
      <c r="S479" s="290"/>
      <c r="T479" s="89"/>
      <c r="U479" s="89"/>
      <c r="V479" s="89"/>
      <c r="W479" s="89"/>
      <c r="X479" s="89"/>
      <c r="Y479" s="89"/>
      <c r="Z479" s="89"/>
      <c r="AA479" s="89"/>
      <c r="AB479" s="89"/>
    </row>
    <row r="480" spans="13:28" x14ac:dyDescent="0.3">
      <c r="M480" s="307"/>
      <c r="N480" s="290"/>
      <c r="O480" s="290"/>
      <c r="P480" s="290"/>
      <c r="Q480" s="290"/>
      <c r="R480" s="290"/>
      <c r="S480" s="290"/>
      <c r="T480" s="89"/>
      <c r="U480" s="89"/>
      <c r="V480" s="89"/>
      <c r="W480" s="89"/>
      <c r="X480" s="89"/>
      <c r="Y480" s="89"/>
      <c r="Z480" s="89"/>
      <c r="AA480" s="89"/>
      <c r="AB480" s="89"/>
    </row>
    <row r="481" spans="13:28" x14ac:dyDescent="0.3">
      <c r="M481" s="307"/>
      <c r="N481" s="290"/>
      <c r="O481" s="290"/>
      <c r="P481" s="290"/>
      <c r="Q481" s="290"/>
      <c r="R481" s="290"/>
      <c r="S481" s="290"/>
      <c r="T481" s="89"/>
      <c r="U481" s="89"/>
      <c r="V481" s="89"/>
      <c r="W481" s="89"/>
      <c r="X481" s="89"/>
      <c r="Y481" s="89"/>
      <c r="Z481" s="89"/>
      <c r="AA481" s="89"/>
      <c r="AB481" s="89"/>
    </row>
    <row r="482" spans="13:28" x14ac:dyDescent="0.3">
      <c r="M482" s="307"/>
      <c r="N482" s="290"/>
      <c r="O482" s="290"/>
      <c r="P482" s="290"/>
      <c r="Q482" s="290"/>
      <c r="R482" s="290"/>
      <c r="S482" s="290"/>
      <c r="T482" s="89"/>
      <c r="U482" s="89"/>
      <c r="V482" s="89"/>
      <c r="W482" s="89"/>
      <c r="X482" s="89"/>
      <c r="Y482" s="89"/>
      <c r="Z482" s="89"/>
      <c r="AA482" s="89"/>
      <c r="AB482" s="89"/>
    </row>
    <row r="483" spans="13:28" x14ac:dyDescent="0.3">
      <c r="M483" s="307"/>
      <c r="N483" s="290"/>
      <c r="O483" s="290"/>
      <c r="P483" s="290"/>
      <c r="Q483" s="290"/>
      <c r="R483" s="290"/>
      <c r="S483" s="290"/>
      <c r="T483" s="89"/>
      <c r="U483" s="89"/>
      <c r="V483" s="89"/>
      <c r="W483" s="89"/>
      <c r="X483" s="89"/>
      <c r="Y483" s="89"/>
      <c r="Z483" s="89"/>
      <c r="AA483" s="89"/>
      <c r="AB483" s="89"/>
    </row>
    <row r="484" spans="13:28" x14ac:dyDescent="0.3">
      <c r="M484" s="307"/>
      <c r="N484" s="290"/>
      <c r="O484" s="290"/>
      <c r="P484" s="290"/>
      <c r="Q484" s="290"/>
      <c r="R484" s="290"/>
      <c r="S484" s="290"/>
      <c r="T484" s="89"/>
      <c r="U484" s="89"/>
      <c r="V484" s="89"/>
      <c r="W484" s="89"/>
      <c r="X484" s="89"/>
      <c r="Y484" s="89"/>
      <c r="Z484" s="89"/>
      <c r="AA484" s="89"/>
      <c r="AB484" s="89"/>
    </row>
    <row r="485" spans="13:28" x14ac:dyDescent="0.3">
      <c r="M485" s="307"/>
      <c r="N485" s="290"/>
      <c r="O485" s="290"/>
      <c r="P485" s="290"/>
      <c r="Q485" s="290"/>
      <c r="R485" s="290"/>
      <c r="S485" s="290"/>
      <c r="T485" s="89"/>
      <c r="U485" s="89"/>
      <c r="V485" s="89"/>
      <c r="W485" s="89"/>
      <c r="X485" s="89"/>
      <c r="Y485" s="89"/>
      <c r="Z485" s="89"/>
      <c r="AA485" s="89"/>
      <c r="AB485" s="89"/>
    </row>
    <row r="486" spans="13:28" x14ac:dyDescent="0.3">
      <c r="M486" s="307"/>
      <c r="N486" s="290"/>
      <c r="O486" s="290"/>
      <c r="P486" s="290"/>
      <c r="Q486" s="290"/>
      <c r="R486" s="290"/>
      <c r="S486" s="290"/>
      <c r="T486" s="89"/>
      <c r="U486" s="89"/>
      <c r="V486" s="89"/>
      <c r="W486" s="89"/>
      <c r="X486" s="89"/>
      <c r="Y486" s="89"/>
      <c r="Z486" s="89"/>
      <c r="AA486" s="89"/>
      <c r="AB486" s="89"/>
    </row>
    <row r="487" spans="13:28" x14ac:dyDescent="0.3">
      <c r="M487" s="307"/>
      <c r="N487" s="290"/>
      <c r="O487" s="290"/>
      <c r="P487" s="290"/>
      <c r="Q487" s="290"/>
      <c r="R487" s="290"/>
      <c r="S487" s="290"/>
      <c r="T487" s="89"/>
      <c r="U487" s="89"/>
      <c r="V487" s="89"/>
      <c r="W487" s="89"/>
      <c r="X487" s="89"/>
      <c r="Y487" s="89"/>
      <c r="Z487" s="89"/>
      <c r="AA487" s="89"/>
      <c r="AB487" s="89"/>
    </row>
    <row r="488" spans="13:28" x14ac:dyDescent="0.3">
      <c r="M488" s="307"/>
      <c r="N488" s="290"/>
      <c r="O488" s="290"/>
      <c r="P488" s="290"/>
      <c r="Q488" s="290"/>
      <c r="R488" s="290"/>
      <c r="S488" s="290"/>
      <c r="T488" s="89"/>
      <c r="U488" s="89"/>
      <c r="V488" s="89"/>
      <c r="W488" s="89"/>
      <c r="X488" s="89"/>
      <c r="Y488" s="89"/>
      <c r="Z488" s="89"/>
      <c r="AA488" s="89"/>
      <c r="AB488" s="89"/>
    </row>
    <row r="489" spans="13:28" x14ac:dyDescent="0.3">
      <c r="M489" s="307"/>
      <c r="N489" s="290"/>
      <c r="O489" s="290"/>
      <c r="P489" s="290"/>
      <c r="Q489" s="290"/>
      <c r="R489" s="290"/>
      <c r="S489" s="290"/>
      <c r="T489" s="89"/>
      <c r="U489" s="89"/>
      <c r="V489" s="89"/>
      <c r="W489" s="89"/>
      <c r="X489" s="89"/>
      <c r="Y489" s="89"/>
      <c r="Z489" s="89"/>
      <c r="AA489" s="89"/>
      <c r="AB489" s="89"/>
    </row>
    <row r="490" spans="13:28" x14ac:dyDescent="0.3">
      <c r="M490" s="307"/>
      <c r="N490" s="290"/>
      <c r="O490" s="290"/>
      <c r="P490" s="290"/>
      <c r="Q490" s="290"/>
      <c r="R490" s="290"/>
      <c r="S490" s="290"/>
      <c r="T490" s="89"/>
      <c r="U490" s="89"/>
      <c r="V490" s="89"/>
      <c r="W490" s="89"/>
      <c r="X490" s="89"/>
      <c r="Y490" s="89"/>
      <c r="Z490" s="89"/>
      <c r="AA490" s="89"/>
      <c r="AB490" s="89"/>
    </row>
    <row r="491" spans="13:28" x14ac:dyDescent="0.3">
      <c r="M491" s="307"/>
      <c r="N491" s="290"/>
      <c r="O491" s="290"/>
      <c r="P491" s="290"/>
      <c r="Q491" s="290"/>
      <c r="R491" s="290"/>
      <c r="S491" s="290"/>
      <c r="T491" s="89"/>
      <c r="U491" s="89"/>
      <c r="V491" s="89"/>
      <c r="W491" s="89"/>
      <c r="X491" s="89"/>
      <c r="Y491" s="89"/>
      <c r="Z491" s="89"/>
      <c r="AA491" s="89"/>
      <c r="AB491" s="89"/>
    </row>
    <row r="492" spans="13:28" x14ac:dyDescent="0.3">
      <c r="M492" s="307"/>
      <c r="N492" s="290"/>
      <c r="O492" s="290"/>
      <c r="P492" s="290"/>
      <c r="Q492" s="290"/>
      <c r="R492" s="290"/>
      <c r="S492" s="290"/>
      <c r="T492" s="89"/>
      <c r="U492" s="89"/>
      <c r="V492" s="89"/>
      <c r="W492" s="89"/>
      <c r="X492" s="89"/>
      <c r="Y492" s="89"/>
      <c r="Z492" s="89"/>
      <c r="AA492" s="89"/>
      <c r="AB492" s="89"/>
    </row>
    <row r="493" spans="13:28" x14ac:dyDescent="0.3">
      <c r="M493" s="307"/>
      <c r="N493" s="290"/>
      <c r="O493" s="290"/>
      <c r="P493" s="290"/>
      <c r="Q493" s="290"/>
      <c r="R493" s="290"/>
      <c r="S493" s="290"/>
      <c r="T493" s="89"/>
      <c r="U493" s="89"/>
      <c r="V493" s="89"/>
      <c r="W493" s="89"/>
      <c r="X493" s="89"/>
      <c r="Y493" s="89"/>
      <c r="Z493" s="89"/>
      <c r="AA493" s="89"/>
      <c r="AB493" s="89"/>
    </row>
    <row r="494" spans="13:28" x14ac:dyDescent="0.3">
      <c r="M494" s="307"/>
      <c r="N494" s="290"/>
      <c r="O494" s="290"/>
      <c r="P494" s="290"/>
      <c r="Q494" s="290"/>
      <c r="R494" s="290"/>
      <c r="S494" s="290"/>
      <c r="T494" s="89"/>
      <c r="U494" s="89"/>
      <c r="V494" s="89"/>
      <c r="W494" s="89"/>
      <c r="X494" s="89"/>
      <c r="Y494" s="89"/>
      <c r="Z494" s="89"/>
      <c r="AA494" s="89"/>
      <c r="AB494" s="89"/>
    </row>
    <row r="495" spans="13:28" x14ac:dyDescent="0.3">
      <c r="M495" s="307"/>
      <c r="N495" s="290"/>
      <c r="O495" s="290"/>
      <c r="P495" s="290"/>
      <c r="Q495" s="290"/>
      <c r="R495" s="290"/>
      <c r="S495" s="290"/>
      <c r="T495" s="89"/>
      <c r="U495" s="89"/>
      <c r="V495" s="89"/>
      <c r="W495" s="89"/>
      <c r="X495" s="89"/>
      <c r="Y495" s="89"/>
      <c r="Z495" s="89"/>
      <c r="AA495" s="89"/>
      <c r="AB495" s="89"/>
    </row>
    <row r="496" spans="13:28" x14ac:dyDescent="0.3">
      <c r="M496" s="307"/>
      <c r="N496" s="290"/>
      <c r="O496" s="290"/>
      <c r="P496" s="290"/>
      <c r="Q496" s="290"/>
      <c r="R496" s="290"/>
      <c r="S496" s="290"/>
      <c r="T496" s="89"/>
      <c r="U496" s="89"/>
      <c r="V496" s="89"/>
      <c r="W496" s="89"/>
      <c r="X496" s="89"/>
      <c r="Y496" s="89"/>
      <c r="Z496" s="89"/>
      <c r="AA496" s="89"/>
      <c r="AB496" s="89"/>
    </row>
    <row r="497" spans="13:28" x14ac:dyDescent="0.3">
      <c r="M497" s="307"/>
      <c r="N497" s="290"/>
      <c r="O497" s="290"/>
      <c r="P497" s="290"/>
      <c r="Q497" s="290"/>
      <c r="R497" s="290"/>
      <c r="S497" s="290"/>
      <c r="T497" s="89"/>
      <c r="U497" s="89"/>
      <c r="V497" s="89"/>
      <c r="W497" s="89"/>
      <c r="X497" s="89"/>
      <c r="Y497" s="89"/>
      <c r="Z497" s="89"/>
      <c r="AA497" s="89"/>
      <c r="AB497" s="89"/>
    </row>
    <row r="498" spans="13:28" x14ac:dyDescent="0.3">
      <c r="M498" s="307"/>
      <c r="N498" s="290"/>
      <c r="O498" s="290"/>
      <c r="P498" s="290"/>
      <c r="Q498" s="290"/>
      <c r="R498" s="290"/>
      <c r="S498" s="290"/>
      <c r="T498" s="89"/>
      <c r="U498" s="89"/>
      <c r="V498" s="89"/>
      <c r="W498" s="89"/>
      <c r="X498" s="89"/>
      <c r="Y498" s="89"/>
      <c r="Z498" s="89"/>
      <c r="AA498" s="89"/>
      <c r="AB498" s="89"/>
    </row>
    <row r="499" spans="13:28" x14ac:dyDescent="0.3">
      <c r="M499" s="307"/>
      <c r="N499" s="290"/>
      <c r="O499" s="290"/>
      <c r="P499" s="290"/>
      <c r="Q499" s="290"/>
      <c r="R499" s="290"/>
      <c r="S499" s="290"/>
      <c r="T499" s="89"/>
      <c r="U499" s="89"/>
      <c r="V499" s="89"/>
      <c r="W499" s="89"/>
      <c r="X499" s="89"/>
      <c r="Y499" s="89"/>
      <c r="Z499" s="89"/>
      <c r="AA499" s="89"/>
      <c r="AB499" s="89"/>
    </row>
    <row r="500" spans="13:28" x14ac:dyDescent="0.3">
      <c r="M500" s="307"/>
      <c r="N500" s="290"/>
      <c r="O500" s="290"/>
      <c r="P500" s="290"/>
      <c r="Q500" s="290"/>
      <c r="R500" s="290"/>
      <c r="S500" s="290"/>
      <c r="T500" s="89"/>
      <c r="U500" s="89"/>
      <c r="V500" s="89"/>
      <c r="W500" s="89"/>
      <c r="X500" s="89"/>
      <c r="Y500" s="89"/>
      <c r="Z500" s="89"/>
      <c r="AA500" s="89"/>
      <c r="AB500" s="89"/>
    </row>
    <row r="501" spans="13:28" x14ac:dyDescent="0.3">
      <c r="M501" s="307"/>
      <c r="N501" s="290"/>
      <c r="O501" s="290"/>
      <c r="P501" s="290"/>
      <c r="Q501" s="290"/>
      <c r="R501" s="290"/>
      <c r="S501" s="290"/>
      <c r="T501" s="89"/>
      <c r="U501" s="89"/>
      <c r="V501" s="89"/>
      <c r="W501" s="89"/>
      <c r="X501" s="89"/>
      <c r="Y501" s="89"/>
      <c r="Z501" s="89"/>
      <c r="AA501" s="89"/>
      <c r="AB501" s="89"/>
    </row>
    <row r="502" spans="13:28" x14ac:dyDescent="0.3">
      <c r="M502" s="307"/>
      <c r="N502" s="290"/>
      <c r="O502" s="290"/>
      <c r="P502" s="290"/>
      <c r="Q502" s="290"/>
      <c r="R502" s="290"/>
      <c r="S502" s="290"/>
      <c r="T502" s="89"/>
      <c r="U502" s="89"/>
      <c r="V502" s="89"/>
      <c r="W502" s="89"/>
      <c r="X502" s="89"/>
      <c r="Y502" s="89"/>
      <c r="Z502" s="89"/>
      <c r="AA502" s="89"/>
      <c r="AB502" s="89"/>
    </row>
    <row r="503" spans="13:28" x14ac:dyDescent="0.3">
      <c r="M503" s="307"/>
      <c r="N503" s="290"/>
      <c r="O503" s="290"/>
      <c r="P503" s="290"/>
      <c r="Q503" s="290"/>
      <c r="R503" s="290"/>
      <c r="S503" s="290"/>
      <c r="T503" s="89"/>
      <c r="U503" s="89"/>
      <c r="V503" s="89"/>
      <c r="W503" s="89"/>
      <c r="X503" s="89"/>
      <c r="Y503" s="89"/>
      <c r="Z503" s="89"/>
      <c r="AA503" s="89"/>
      <c r="AB503" s="89"/>
    </row>
    <row r="504" spans="13:28" x14ac:dyDescent="0.3">
      <c r="M504" s="307"/>
      <c r="N504" s="290"/>
      <c r="O504" s="290"/>
      <c r="P504" s="290"/>
      <c r="Q504" s="290"/>
      <c r="R504" s="290"/>
      <c r="S504" s="290"/>
      <c r="T504" s="89"/>
      <c r="U504" s="89"/>
      <c r="V504" s="89"/>
      <c r="W504" s="89"/>
      <c r="X504" s="89"/>
      <c r="Y504" s="89"/>
      <c r="Z504" s="89"/>
      <c r="AA504" s="89"/>
      <c r="AB504" s="89"/>
    </row>
    <row r="505" spans="13:28" x14ac:dyDescent="0.3">
      <c r="M505" s="307"/>
      <c r="N505" s="290"/>
      <c r="O505" s="290"/>
      <c r="P505" s="290"/>
      <c r="Q505" s="290"/>
      <c r="R505" s="290"/>
      <c r="S505" s="290"/>
      <c r="T505" s="89"/>
      <c r="U505" s="89"/>
      <c r="V505" s="89"/>
      <c r="W505" s="89"/>
      <c r="X505" s="89"/>
      <c r="Y505" s="89"/>
      <c r="Z505" s="89"/>
      <c r="AA505" s="89"/>
      <c r="AB505" s="89"/>
    </row>
    <row r="506" spans="13:28" x14ac:dyDescent="0.3">
      <c r="M506" s="307"/>
      <c r="N506" s="290"/>
      <c r="O506" s="290"/>
      <c r="P506" s="290"/>
      <c r="Q506" s="290"/>
      <c r="R506" s="290"/>
      <c r="S506" s="290"/>
      <c r="T506" s="89"/>
      <c r="U506" s="89"/>
      <c r="V506" s="89"/>
      <c r="W506" s="89"/>
      <c r="X506" s="89"/>
      <c r="Y506" s="89"/>
      <c r="Z506" s="89"/>
      <c r="AA506" s="89"/>
      <c r="AB506" s="89"/>
    </row>
    <row r="507" spans="13:28" x14ac:dyDescent="0.3">
      <c r="M507" s="307"/>
      <c r="N507" s="290"/>
      <c r="O507" s="290"/>
      <c r="P507" s="290"/>
      <c r="Q507" s="290"/>
      <c r="R507" s="290"/>
      <c r="S507" s="290"/>
      <c r="T507" s="89"/>
      <c r="U507" s="89"/>
      <c r="V507" s="89"/>
      <c r="W507" s="89"/>
      <c r="X507" s="89"/>
      <c r="Y507" s="89"/>
      <c r="Z507" s="89"/>
      <c r="AA507" s="89"/>
      <c r="AB507" s="89"/>
    </row>
    <row r="508" spans="13:28" x14ac:dyDescent="0.3">
      <c r="M508" s="307"/>
      <c r="N508" s="290"/>
      <c r="O508" s="290"/>
      <c r="P508" s="290"/>
      <c r="Q508" s="290"/>
      <c r="R508" s="290"/>
      <c r="S508" s="290"/>
      <c r="T508" s="89"/>
      <c r="U508" s="89"/>
      <c r="V508" s="89"/>
      <c r="W508" s="89"/>
      <c r="X508" s="89"/>
      <c r="Y508" s="89"/>
      <c r="Z508" s="89"/>
      <c r="AA508" s="89"/>
      <c r="AB508" s="89"/>
    </row>
    <row r="509" spans="13:28" x14ac:dyDescent="0.3">
      <c r="M509" s="307"/>
      <c r="N509" s="290"/>
      <c r="O509" s="290"/>
      <c r="P509" s="290"/>
      <c r="Q509" s="290"/>
      <c r="R509" s="290"/>
      <c r="S509" s="290"/>
      <c r="T509" s="89"/>
      <c r="U509" s="89"/>
      <c r="V509" s="89"/>
      <c r="W509" s="89"/>
      <c r="X509" s="89"/>
      <c r="Y509" s="89"/>
      <c r="Z509" s="89"/>
      <c r="AA509" s="89"/>
      <c r="AB509" s="89"/>
    </row>
    <row r="510" spans="13:28" x14ac:dyDescent="0.3">
      <c r="M510" s="307"/>
      <c r="N510" s="290"/>
      <c r="O510" s="290"/>
      <c r="P510" s="290"/>
      <c r="Q510" s="290"/>
      <c r="R510" s="290"/>
      <c r="S510" s="290"/>
      <c r="T510" s="89"/>
      <c r="U510" s="89"/>
      <c r="V510" s="89"/>
      <c r="W510" s="89"/>
      <c r="X510" s="89"/>
      <c r="Y510" s="89"/>
      <c r="Z510" s="89"/>
      <c r="AA510" s="89"/>
      <c r="AB510" s="89"/>
    </row>
    <row r="511" spans="13:28" x14ac:dyDescent="0.3">
      <c r="M511" s="307"/>
      <c r="N511" s="290"/>
      <c r="O511" s="290"/>
      <c r="P511" s="290"/>
      <c r="Q511" s="290"/>
      <c r="R511" s="290"/>
      <c r="S511" s="290"/>
      <c r="T511" s="89"/>
      <c r="U511" s="89"/>
      <c r="V511" s="89"/>
      <c r="W511" s="89"/>
      <c r="X511" s="89"/>
      <c r="Y511" s="89"/>
      <c r="Z511" s="89"/>
      <c r="AA511" s="89"/>
      <c r="AB511" s="89"/>
    </row>
    <row r="512" spans="13:28" x14ac:dyDescent="0.3">
      <c r="M512" s="307"/>
      <c r="N512" s="290"/>
      <c r="O512" s="290"/>
      <c r="P512" s="290"/>
      <c r="Q512" s="290"/>
      <c r="R512" s="290"/>
      <c r="S512" s="290"/>
      <c r="T512" s="89"/>
      <c r="U512" s="89"/>
      <c r="V512" s="89"/>
      <c r="W512" s="89"/>
      <c r="X512" s="89"/>
      <c r="Y512" s="89"/>
      <c r="Z512" s="89"/>
      <c r="AA512" s="89"/>
      <c r="AB512" s="89"/>
    </row>
    <row r="513" spans="13:28" x14ac:dyDescent="0.3">
      <c r="M513" s="307"/>
      <c r="N513" s="290"/>
      <c r="O513" s="290"/>
      <c r="P513" s="290"/>
      <c r="Q513" s="290"/>
      <c r="R513" s="290"/>
      <c r="S513" s="290"/>
      <c r="T513" s="89"/>
      <c r="U513" s="89"/>
      <c r="V513" s="89"/>
      <c r="W513" s="89"/>
      <c r="X513" s="89"/>
      <c r="Y513" s="89"/>
      <c r="Z513" s="89"/>
      <c r="AA513" s="89"/>
      <c r="AB513" s="89"/>
    </row>
    <row r="514" spans="13:28" x14ac:dyDescent="0.3">
      <c r="M514" s="307"/>
      <c r="N514" s="290"/>
      <c r="O514" s="290"/>
      <c r="P514" s="290"/>
      <c r="Q514" s="290"/>
      <c r="R514" s="290"/>
      <c r="S514" s="290"/>
      <c r="T514" s="89"/>
      <c r="U514" s="89"/>
      <c r="V514" s="89"/>
      <c r="W514" s="89"/>
      <c r="X514" s="89"/>
      <c r="Y514" s="89"/>
      <c r="Z514" s="89"/>
      <c r="AA514" s="89"/>
      <c r="AB514" s="89"/>
    </row>
    <row r="515" spans="13:28" x14ac:dyDescent="0.3">
      <c r="M515" s="307"/>
      <c r="N515" s="290"/>
      <c r="O515" s="290"/>
      <c r="P515" s="290"/>
      <c r="Q515" s="290"/>
      <c r="R515" s="290"/>
      <c r="S515" s="290"/>
      <c r="T515" s="89"/>
      <c r="U515" s="89"/>
      <c r="V515" s="89"/>
      <c r="W515" s="89"/>
      <c r="X515" s="89"/>
      <c r="Y515" s="89"/>
      <c r="Z515" s="89"/>
      <c r="AA515" s="89"/>
      <c r="AB515" s="89"/>
    </row>
    <row r="516" spans="13:28" x14ac:dyDescent="0.3">
      <c r="M516" s="307"/>
      <c r="N516" s="290"/>
      <c r="O516" s="290"/>
      <c r="P516" s="290"/>
      <c r="Q516" s="290"/>
      <c r="R516" s="290"/>
      <c r="S516" s="290"/>
      <c r="T516" s="89"/>
      <c r="U516" s="89"/>
      <c r="V516" s="89"/>
      <c r="W516" s="89"/>
      <c r="X516" s="89"/>
      <c r="Y516" s="89"/>
      <c r="Z516" s="89"/>
      <c r="AA516" s="89"/>
      <c r="AB516" s="89"/>
    </row>
    <row r="517" spans="13:28" x14ac:dyDescent="0.3">
      <c r="M517" s="307"/>
      <c r="N517" s="290"/>
      <c r="O517" s="290"/>
      <c r="P517" s="290"/>
      <c r="Q517" s="290"/>
      <c r="R517" s="290"/>
      <c r="S517" s="290"/>
      <c r="T517" s="89"/>
      <c r="U517" s="89"/>
      <c r="V517" s="89"/>
      <c r="W517" s="89"/>
      <c r="X517" s="89"/>
      <c r="Y517" s="89"/>
      <c r="Z517" s="89"/>
      <c r="AA517" s="89"/>
      <c r="AB517" s="89"/>
    </row>
    <row r="518" spans="13:28" x14ac:dyDescent="0.3">
      <c r="M518" s="307"/>
      <c r="N518" s="290"/>
      <c r="O518" s="290"/>
      <c r="P518" s="290"/>
      <c r="Q518" s="290"/>
      <c r="R518" s="290"/>
      <c r="S518" s="290"/>
      <c r="T518" s="89"/>
      <c r="U518" s="89"/>
      <c r="V518" s="89"/>
      <c r="W518" s="89"/>
      <c r="X518" s="89"/>
      <c r="Y518" s="89"/>
      <c r="Z518" s="89"/>
      <c r="AA518" s="89"/>
      <c r="AB518" s="89"/>
    </row>
    <row r="519" spans="13:28" x14ac:dyDescent="0.3">
      <c r="M519" s="307"/>
      <c r="N519" s="290"/>
      <c r="O519" s="290"/>
      <c r="P519" s="290"/>
      <c r="Q519" s="290"/>
      <c r="R519" s="290"/>
      <c r="S519" s="290"/>
      <c r="T519" s="89"/>
      <c r="U519" s="89"/>
      <c r="V519" s="89"/>
      <c r="W519" s="89"/>
      <c r="X519" s="89"/>
      <c r="Y519" s="89"/>
      <c r="Z519" s="89"/>
      <c r="AA519" s="89"/>
      <c r="AB519" s="89"/>
    </row>
    <row r="520" spans="13:28" x14ac:dyDescent="0.3">
      <c r="M520" s="307"/>
      <c r="N520" s="290"/>
      <c r="O520" s="290"/>
      <c r="P520" s="290"/>
      <c r="Q520" s="290"/>
      <c r="R520" s="290"/>
      <c r="S520" s="290"/>
      <c r="T520" s="89"/>
      <c r="U520" s="89"/>
      <c r="V520" s="89"/>
      <c r="W520" s="89"/>
      <c r="X520" s="89"/>
      <c r="Y520" s="89"/>
      <c r="Z520" s="89"/>
      <c r="AA520" s="89"/>
      <c r="AB520" s="89"/>
    </row>
    <row r="521" spans="13:28" x14ac:dyDescent="0.3">
      <c r="M521" s="307"/>
      <c r="N521" s="290"/>
      <c r="O521" s="290"/>
      <c r="P521" s="290"/>
      <c r="Q521" s="290"/>
      <c r="R521" s="290"/>
      <c r="S521" s="290"/>
      <c r="T521" s="89"/>
      <c r="U521" s="89"/>
      <c r="V521" s="89"/>
      <c r="W521" s="89"/>
      <c r="X521" s="89"/>
      <c r="Y521" s="89"/>
      <c r="Z521" s="89"/>
      <c r="AA521" s="89"/>
      <c r="AB521" s="89"/>
    </row>
    <row r="522" spans="13:28" x14ac:dyDescent="0.3">
      <c r="M522" s="307"/>
      <c r="N522" s="290"/>
      <c r="O522" s="290"/>
      <c r="P522" s="290"/>
      <c r="Q522" s="290"/>
      <c r="R522" s="290"/>
      <c r="S522" s="290"/>
      <c r="T522" s="89"/>
      <c r="U522" s="89"/>
      <c r="V522" s="89"/>
      <c r="W522" s="89"/>
      <c r="X522" s="89"/>
      <c r="Y522" s="89"/>
      <c r="Z522" s="89"/>
      <c r="AA522" s="89"/>
      <c r="AB522" s="89"/>
    </row>
    <row r="523" spans="13:28" x14ac:dyDescent="0.3">
      <c r="M523" s="307"/>
      <c r="N523" s="290"/>
      <c r="O523" s="290"/>
      <c r="P523" s="290"/>
      <c r="Q523" s="290"/>
      <c r="R523" s="290"/>
      <c r="S523" s="290"/>
      <c r="T523" s="89"/>
      <c r="U523" s="89"/>
      <c r="V523" s="89"/>
      <c r="W523" s="89"/>
      <c r="X523" s="89"/>
      <c r="Y523" s="89"/>
      <c r="Z523" s="89"/>
      <c r="AA523" s="89"/>
      <c r="AB523" s="89"/>
    </row>
    <row r="524" spans="13:28" x14ac:dyDescent="0.3">
      <c r="M524" s="307"/>
      <c r="N524" s="290"/>
      <c r="O524" s="290"/>
      <c r="P524" s="290"/>
      <c r="Q524" s="290"/>
      <c r="R524" s="290"/>
      <c r="S524" s="290"/>
      <c r="T524" s="89"/>
      <c r="U524" s="89"/>
      <c r="V524" s="89"/>
      <c r="W524" s="89"/>
      <c r="X524" s="89"/>
      <c r="Y524" s="89"/>
      <c r="Z524" s="89"/>
      <c r="AA524" s="89"/>
      <c r="AB524" s="89"/>
    </row>
    <row r="525" spans="13:28" x14ac:dyDescent="0.3">
      <c r="M525" s="307"/>
      <c r="N525" s="290"/>
      <c r="O525" s="290"/>
      <c r="P525" s="290"/>
      <c r="Q525" s="290"/>
      <c r="R525" s="290"/>
      <c r="S525" s="290"/>
      <c r="T525" s="89"/>
      <c r="U525" s="89"/>
      <c r="V525" s="89"/>
      <c r="W525" s="89"/>
      <c r="X525" s="89"/>
      <c r="Y525" s="89"/>
      <c r="Z525" s="89"/>
      <c r="AA525" s="89"/>
      <c r="AB525" s="89"/>
    </row>
    <row r="526" spans="13:28" x14ac:dyDescent="0.3">
      <c r="M526" s="307"/>
      <c r="N526" s="290"/>
      <c r="O526" s="290"/>
      <c r="P526" s="290"/>
      <c r="Q526" s="290"/>
      <c r="R526" s="290"/>
      <c r="S526" s="290"/>
      <c r="T526" s="89"/>
      <c r="U526" s="89"/>
      <c r="V526" s="89"/>
      <c r="W526" s="89"/>
      <c r="X526" s="89"/>
      <c r="Y526" s="89"/>
      <c r="Z526" s="89"/>
      <c r="AA526" s="89"/>
      <c r="AB526" s="89"/>
    </row>
    <row r="527" spans="13:28" x14ac:dyDescent="0.3">
      <c r="M527" s="307"/>
      <c r="N527" s="290"/>
      <c r="O527" s="290"/>
      <c r="P527" s="290"/>
      <c r="Q527" s="290"/>
      <c r="R527" s="290"/>
      <c r="S527" s="290"/>
      <c r="T527" s="89"/>
      <c r="U527" s="89"/>
      <c r="V527" s="89"/>
      <c r="W527" s="89"/>
      <c r="X527" s="89"/>
      <c r="Y527" s="89"/>
      <c r="Z527" s="89"/>
      <c r="AA527" s="89"/>
      <c r="AB527" s="89"/>
    </row>
    <row r="528" spans="13:28" x14ac:dyDescent="0.3">
      <c r="M528" s="307"/>
      <c r="N528" s="290"/>
      <c r="O528" s="290"/>
      <c r="P528" s="290"/>
      <c r="Q528" s="290"/>
      <c r="R528" s="290"/>
      <c r="S528" s="290"/>
      <c r="T528" s="89"/>
      <c r="U528" s="89"/>
      <c r="V528" s="89"/>
      <c r="W528" s="89"/>
      <c r="X528" s="89"/>
      <c r="Y528" s="89"/>
      <c r="Z528" s="89"/>
      <c r="AA528" s="89"/>
      <c r="AB528" s="89"/>
    </row>
    <row r="529" spans="13:28" x14ac:dyDescent="0.3">
      <c r="M529" s="307"/>
      <c r="N529" s="290"/>
      <c r="O529" s="290"/>
      <c r="P529" s="290"/>
      <c r="Q529" s="290"/>
      <c r="R529" s="290"/>
      <c r="S529" s="290"/>
      <c r="T529" s="89"/>
      <c r="U529" s="89"/>
      <c r="V529" s="89"/>
      <c r="W529" s="89"/>
      <c r="X529" s="89"/>
      <c r="Y529" s="89"/>
      <c r="Z529" s="89"/>
      <c r="AA529" s="89"/>
      <c r="AB529" s="89"/>
    </row>
    <row r="530" spans="13:28" x14ac:dyDescent="0.3">
      <c r="M530" s="307"/>
      <c r="N530" s="290"/>
      <c r="O530" s="290"/>
      <c r="P530" s="290"/>
      <c r="Q530" s="290"/>
      <c r="R530" s="290"/>
      <c r="S530" s="290"/>
      <c r="T530" s="89"/>
      <c r="U530" s="89"/>
      <c r="V530" s="89"/>
      <c r="W530" s="89"/>
      <c r="X530" s="89"/>
      <c r="Y530" s="89"/>
      <c r="Z530" s="89"/>
      <c r="AA530" s="89"/>
      <c r="AB530" s="89"/>
    </row>
    <row r="531" spans="13:28" x14ac:dyDescent="0.3">
      <c r="M531" s="307"/>
      <c r="N531" s="290"/>
      <c r="O531" s="290"/>
      <c r="P531" s="290"/>
      <c r="Q531" s="290"/>
      <c r="R531" s="290"/>
      <c r="S531" s="290"/>
      <c r="T531" s="89"/>
      <c r="U531" s="89"/>
      <c r="V531" s="89"/>
      <c r="W531" s="89"/>
      <c r="X531" s="89"/>
      <c r="Y531" s="89"/>
      <c r="Z531" s="89"/>
      <c r="AA531" s="89"/>
      <c r="AB531" s="89"/>
    </row>
    <row r="532" spans="13:28" x14ac:dyDescent="0.3">
      <c r="M532" s="307"/>
      <c r="N532" s="290"/>
      <c r="O532" s="290"/>
      <c r="P532" s="290"/>
      <c r="Q532" s="290"/>
      <c r="R532" s="290"/>
      <c r="S532" s="290"/>
      <c r="T532" s="89"/>
      <c r="U532" s="89"/>
      <c r="V532" s="89"/>
      <c r="W532" s="89"/>
      <c r="X532" s="89"/>
      <c r="Y532" s="89"/>
      <c r="Z532" s="89"/>
      <c r="AA532" s="89"/>
      <c r="AB532" s="89"/>
    </row>
    <row r="533" spans="13:28" x14ac:dyDescent="0.3">
      <c r="M533" s="307"/>
      <c r="N533" s="290"/>
      <c r="O533" s="290"/>
      <c r="P533" s="290"/>
      <c r="Q533" s="290"/>
      <c r="R533" s="290"/>
      <c r="S533" s="290"/>
      <c r="T533" s="89"/>
      <c r="U533" s="89"/>
      <c r="V533" s="89"/>
      <c r="W533" s="89"/>
      <c r="X533" s="89"/>
      <c r="Y533" s="89"/>
      <c r="Z533" s="89"/>
      <c r="AA533" s="89"/>
      <c r="AB533" s="89"/>
    </row>
    <row r="534" spans="13:28" x14ac:dyDescent="0.3">
      <c r="M534" s="307"/>
      <c r="N534" s="290"/>
      <c r="O534" s="290"/>
      <c r="P534" s="290"/>
      <c r="Q534" s="290"/>
      <c r="R534" s="290"/>
      <c r="S534" s="290"/>
      <c r="T534" s="89"/>
      <c r="U534" s="89"/>
      <c r="V534" s="89"/>
      <c r="W534" s="89"/>
      <c r="X534" s="89"/>
      <c r="Y534" s="89"/>
      <c r="Z534" s="89"/>
      <c r="AA534" s="89"/>
      <c r="AB534" s="89"/>
    </row>
    <row r="535" spans="13:28" x14ac:dyDescent="0.3">
      <c r="M535" s="307"/>
      <c r="N535" s="290"/>
      <c r="O535" s="290"/>
      <c r="P535" s="290"/>
      <c r="Q535" s="290"/>
      <c r="R535" s="290"/>
      <c r="S535" s="290"/>
      <c r="T535" s="89"/>
      <c r="U535" s="89"/>
      <c r="V535" s="89"/>
      <c r="W535" s="89"/>
      <c r="X535" s="89"/>
      <c r="Y535" s="89"/>
      <c r="Z535" s="89"/>
      <c r="AA535" s="89"/>
      <c r="AB535" s="89"/>
    </row>
    <row r="536" spans="13:28" x14ac:dyDescent="0.3">
      <c r="M536" s="307"/>
      <c r="N536" s="290"/>
      <c r="O536" s="290"/>
      <c r="P536" s="290"/>
      <c r="Q536" s="290"/>
      <c r="R536" s="290"/>
      <c r="S536" s="290"/>
      <c r="T536" s="89"/>
      <c r="U536" s="89"/>
      <c r="V536" s="89"/>
      <c r="W536" s="89"/>
      <c r="X536" s="89"/>
      <c r="Y536" s="89"/>
      <c r="Z536" s="89"/>
      <c r="AA536" s="89"/>
      <c r="AB536" s="89"/>
    </row>
    <row r="537" spans="13:28" x14ac:dyDescent="0.3">
      <c r="M537" s="307"/>
      <c r="N537" s="290"/>
      <c r="O537" s="290"/>
      <c r="P537" s="290"/>
      <c r="Q537" s="290"/>
      <c r="R537" s="290"/>
      <c r="S537" s="290"/>
      <c r="T537" s="89"/>
      <c r="U537" s="89"/>
      <c r="V537" s="89"/>
      <c r="W537" s="89"/>
      <c r="X537" s="89"/>
      <c r="Y537" s="89"/>
      <c r="Z537" s="89"/>
      <c r="AA537" s="89"/>
      <c r="AB537" s="89"/>
    </row>
    <row r="538" spans="13:28" x14ac:dyDescent="0.3">
      <c r="M538" s="307"/>
      <c r="N538" s="290"/>
      <c r="O538" s="290"/>
      <c r="P538" s="290"/>
      <c r="Q538" s="290"/>
      <c r="R538" s="290"/>
      <c r="S538" s="290"/>
      <c r="T538" s="89"/>
      <c r="U538" s="89"/>
      <c r="V538" s="89"/>
      <c r="W538" s="89"/>
      <c r="X538" s="89"/>
      <c r="Y538" s="89"/>
      <c r="Z538" s="89"/>
      <c r="AA538" s="89"/>
      <c r="AB538" s="89"/>
    </row>
    <row r="539" spans="13:28" x14ac:dyDescent="0.3">
      <c r="M539" s="307"/>
      <c r="N539" s="290"/>
      <c r="O539" s="290"/>
      <c r="P539" s="290"/>
      <c r="Q539" s="290"/>
      <c r="R539" s="290"/>
      <c r="S539" s="290"/>
      <c r="T539" s="89"/>
      <c r="U539" s="89"/>
      <c r="V539" s="89"/>
      <c r="W539" s="89"/>
      <c r="X539" s="89"/>
      <c r="Y539" s="89"/>
      <c r="Z539" s="89"/>
      <c r="AA539" s="89"/>
      <c r="AB539" s="89"/>
    </row>
    <row r="540" spans="13:28" x14ac:dyDescent="0.3">
      <c r="M540" s="307"/>
      <c r="N540" s="290"/>
      <c r="O540" s="290"/>
      <c r="P540" s="290"/>
      <c r="Q540" s="290"/>
      <c r="R540" s="290"/>
      <c r="S540" s="290"/>
      <c r="T540" s="89"/>
      <c r="U540" s="89"/>
      <c r="V540" s="89"/>
      <c r="W540" s="89"/>
      <c r="X540" s="89"/>
      <c r="Y540" s="89"/>
      <c r="Z540" s="89"/>
      <c r="AA540" s="89"/>
      <c r="AB540" s="89"/>
    </row>
    <row r="541" spans="13:28" x14ac:dyDescent="0.3">
      <c r="M541" s="307"/>
      <c r="N541" s="290"/>
      <c r="O541" s="290"/>
      <c r="P541" s="290"/>
      <c r="Q541" s="290"/>
      <c r="R541" s="290"/>
      <c r="S541" s="290"/>
      <c r="T541" s="89"/>
      <c r="U541" s="89"/>
      <c r="V541" s="89"/>
      <c r="W541" s="89"/>
      <c r="X541" s="89"/>
      <c r="Y541" s="89"/>
      <c r="Z541" s="89"/>
      <c r="AA541" s="89"/>
      <c r="AB541" s="89"/>
    </row>
    <row r="542" spans="13:28" x14ac:dyDescent="0.3">
      <c r="M542" s="307"/>
      <c r="N542" s="290"/>
      <c r="O542" s="290"/>
      <c r="P542" s="290"/>
      <c r="Q542" s="290"/>
      <c r="R542" s="290"/>
      <c r="S542" s="290"/>
      <c r="T542" s="89"/>
      <c r="U542" s="89"/>
      <c r="V542" s="89"/>
      <c r="W542" s="89"/>
      <c r="X542" s="89"/>
      <c r="Y542" s="89"/>
      <c r="Z542" s="89"/>
      <c r="AA542" s="89"/>
      <c r="AB542" s="89"/>
    </row>
    <row r="543" spans="13:28" x14ac:dyDescent="0.3">
      <c r="M543" s="307"/>
      <c r="N543" s="290"/>
      <c r="O543" s="290"/>
      <c r="P543" s="290"/>
      <c r="Q543" s="290"/>
      <c r="R543" s="290"/>
      <c r="S543" s="290"/>
      <c r="T543" s="89"/>
      <c r="U543" s="89"/>
      <c r="V543" s="89"/>
      <c r="W543" s="89"/>
      <c r="X543" s="89"/>
      <c r="Y543" s="89"/>
      <c r="Z543" s="89"/>
      <c r="AA543" s="89"/>
      <c r="AB543" s="89"/>
    </row>
    <row r="544" spans="13:28" x14ac:dyDescent="0.3">
      <c r="M544" s="307"/>
      <c r="N544" s="290"/>
      <c r="O544" s="290"/>
      <c r="P544" s="290"/>
      <c r="Q544" s="290"/>
      <c r="R544" s="290"/>
      <c r="S544" s="290"/>
      <c r="T544" s="89"/>
      <c r="U544" s="89"/>
      <c r="V544" s="89"/>
      <c r="W544" s="89"/>
      <c r="X544" s="89"/>
      <c r="Y544" s="89"/>
      <c r="Z544" s="89"/>
      <c r="AA544" s="89"/>
      <c r="AB544" s="89"/>
    </row>
    <row r="545" spans="13:28" x14ac:dyDescent="0.3">
      <c r="M545" s="307"/>
      <c r="N545" s="290"/>
      <c r="O545" s="290"/>
      <c r="P545" s="290"/>
      <c r="Q545" s="290"/>
      <c r="R545" s="290"/>
      <c r="S545" s="290"/>
      <c r="T545" s="89"/>
      <c r="U545" s="89"/>
      <c r="V545" s="89"/>
      <c r="W545" s="89"/>
      <c r="X545" s="89"/>
      <c r="Y545" s="89"/>
      <c r="Z545" s="89"/>
      <c r="AA545" s="89"/>
      <c r="AB545" s="89"/>
    </row>
    <row r="546" spans="13:28" x14ac:dyDescent="0.3">
      <c r="M546" s="307"/>
      <c r="N546" s="290"/>
      <c r="O546" s="290"/>
      <c r="P546" s="290"/>
      <c r="Q546" s="290"/>
      <c r="R546" s="290"/>
      <c r="S546" s="290"/>
      <c r="T546" s="89"/>
      <c r="U546" s="89"/>
      <c r="V546" s="89"/>
      <c r="W546" s="89"/>
      <c r="X546" s="89"/>
      <c r="Y546" s="89"/>
      <c r="Z546" s="89"/>
      <c r="AA546" s="89"/>
      <c r="AB546" s="89"/>
    </row>
    <row r="547" spans="13:28" x14ac:dyDescent="0.3">
      <c r="M547" s="307"/>
      <c r="N547" s="290"/>
      <c r="O547" s="290"/>
      <c r="P547" s="290"/>
      <c r="Q547" s="290"/>
      <c r="R547" s="290"/>
      <c r="S547" s="290"/>
      <c r="T547" s="89"/>
      <c r="U547" s="89"/>
      <c r="V547" s="89"/>
      <c r="W547" s="89"/>
      <c r="X547" s="89"/>
      <c r="Y547" s="89"/>
      <c r="Z547" s="89"/>
      <c r="AA547" s="89"/>
      <c r="AB547" s="89"/>
    </row>
    <row r="548" spans="13:28" x14ac:dyDescent="0.3">
      <c r="M548" s="307"/>
      <c r="N548" s="290"/>
      <c r="O548" s="290"/>
      <c r="P548" s="290"/>
      <c r="Q548" s="290"/>
      <c r="R548" s="290"/>
      <c r="S548" s="290"/>
      <c r="T548" s="89"/>
      <c r="U548" s="89"/>
      <c r="V548" s="89"/>
      <c r="W548" s="89"/>
      <c r="X548" s="89"/>
      <c r="Y548" s="89"/>
      <c r="Z548" s="89"/>
      <c r="AA548" s="89"/>
      <c r="AB548" s="89"/>
    </row>
    <row r="549" spans="13:28" x14ac:dyDescent="0.3">
      <c r="M549" s="307"/>
      <c r="N549" s="290"/>
      <c r="O549" s="290"/>
      <c r="P549" s="290"/>
      <c r="Q549" s="290"/>
      <c r="R549" s="290"/>
      <c r="S549" s="290"/>
      <c r="T549" s="89"/>
      <c r="U549" s="89"/>
      <c r="V549" s="89"/>
      <c r="W549" s="89"/>
      <c r="X549" s="89"/>
      <c r="Y549" s="89"/>
      <c r="Z549" s="89"/>
      <c r="AA549" s="89"/>
      <c r="AB549" s="89"/>
    </row>
    <row r="550" spans="13:28" x14ac:dyDescent="0.3">
      <c r="M550" s="307"/>
      <c r="N550" s="290"/>
      <c r="O550" s="290"/>
      <c r="P550" s="290"/>
      <c r="Q550" s="290"/>
      <c r="R550" s="290"/>
      <c r="S550" s="290"/>
      <c r="T550" s="89"/>
      <c r="U550" s="89"/>
      <c r="V550" s="89"/>
      <c r="W550" s="89"/>
      <c r="X550" s="89"/>
      <c r="Y550" s="89"/>
      <c r="Z550" s="89"/>
      <c r="AA550" s="89"/>
      <c r="AB550" s="89"/>
    </row>
    <row r="551" spans="13:28" x14ac:dyDescent="0.3">
      <c r="M551" s="307"/>
      <c r="N551" s="290"/>
      <c r="O551" s="290"/>
      <c r="P551" s="290"/>
      <c r="Q551" s="290"/>
      <c r="R551" s="290"/>
      <c r="S551" s="290"/>
      <c r="T551" s="89"/>
      <c r="U551" s="89"/>
      <c r="V551" s="89"/>
      <c r="W551" s="89"/>
      <c r="X551" s="89"/>
      <c r="Y551" s="89"/>
      <c r="Z551" s="89"/>
      <c r="AA551" s="89"/>
      <c r="AB551" s="89"/>
    </row>
    <row r="552" spans="13:28" x14ac:dyDescent="0.3">
      <c r="M552" s="307"/>
      <c r="N552" s="290"/>
      <c r="O552" s="290"/>
      <c r="P552" s="290"/>
      <c r="Q552" s="290"/>
      <c r="R552" s="290"/>
      <c r="S552" s="290"/>
      <c r="T552" s="89"/>
      <c r="U552" s="89"/>
      <c r="V552" s="89"/>
      <c r="W552" s="89"/>
      <c r="X552" s="89"/>
      <c r="Y552" s="89"/>
      <c r="Z552" s="89"/>
      <c r="AA552" s="89"/>
      <c r="AB552" s="89"/>
    </row>
    <row r="553" spans="13:28" x14ac:dyDescent="0.3">
      <c r="M553" s="307"/>
      <c r="N553" s="290"/>
      <c r="O553" s="290"/>
      <c r="P553" s="290"/>
      <c r="Q553" s="290"/>
      <c r="R553" s="290"/>
      <c r="S553" s="290"/>
      <c r="T553" s="89"/>
      <c r="U553" s="89"/>
      <c r="V553" s="89"/>
      <c r="W553" s="89"/>
      <c r="X553" s="89"/>
      <c r="Y553" s="89"/>
      <c r="Z553" s="89"/>
      <c r="AA553" s="89"/>
      <c r="AB553" s="89"/>
    </row>
    <row r="554" spans="13:28" x14ac:dyDescent="0.3">
      <c r="M554" s="307"/>
      <c r="N554" s="290"/>
      <c r="O554" s="290"/>
      <c r="P554" s="290"/>
      <c r="Q554" s="290"/>
      <c r="R554" s="290"/>
      <c r="S554" s="290"/>
      <c r="T554" s="89"/>
      <c r="U554" s="89"/>
      <c r="V554" s="89"/>
      <c r="W554" s="89"/>
      <c r="X554" s="89"/>
      <c r="Y554" s="89"/>
      <c r="Z554" s="89"/>
      <c r="AA554" s="89"/>
      <c r="AB554" s="89"/>
    </row>
    <row r="555" spans="13:28" x14ac:dyDescent="0.3">
      <c r="M555" s="307"/>
      <c r="N555" s="290"/>
      <c r="O555" s="290"/>
      <c r="P555" s="290"/>
      <c r="Q555" s="290"/>
      <c r="R555" s="290"/>
      <c r="S555" s="290"/>
      <c r="T555" s="89"/>
      <c r="U555" s="89"/>
      <c r="V555" s="89"/>
      <c r="W555" s="89"/>
      <c r="X555" s="89"/>
      <c r="Y555" s="89"/>
      <c r="Z555" s="89"/>
      <c r="AA555" s="89"/>
      <c r="AB555" s="89"/>
    </row>
  </sheetData>
  <mergeCells count="353">
    <mergeCell ref="A1:S1"/>
    <mergeCell ref="A2:S2"/>
    <mergeCell ref="A3:S3"/>
    <mergeCell ref="I422:K422"/>
    <mergeCell ref="B157:I157"/>
    <mergeCell ref="B158:I158"/>
    <mergeCell ref="B160:I160"/>
    <mergeCell ref="B248:I248"/>
    <mergeCell ref="B249:I249"/>
    <mergeCell ref="B250:I250"/>
    <mergeCell ref="B251:I251"/>
    <mergeCell ref="B252:I252"/>
    <mergeCell ref="B253:I253"/>
    <mergeCell ref="I192:K192"/>
    <mergeCell ref="B190:I190"/>
    <mergeCell ref="B189:I189"/>
    <mergeCell ref="B188:K188"/>
    <mergeCell ref="B171:I171"/>
    <mergeCell ref="B175:I175"/>
    <mergeCell ref="B176:I176"/>
    <mergeCell ref="B174:K174"/>
    <mergeCell ref="B186:I186"/>
    <mergeCell ref="B180:I180"/>
    <mergeCell ref="B38:I38"/>
    <mergeCell ref="B39:I39"/>
    <mergeCell ref="B40:I40"/>
    <mergeCell ref="B41:I41"/>
    <mergeCell ref="B42:I42"/>
    <mergeCell ref="B65:I65"/>
    <mergeCell ref="B64:K64"/>
    <mergeCell ref="B49:I49"/>
    <mergeCell ref="B50:I50"/>
    <mergeCell ref="B61:I61"/>
    <mergeCell ref="B62:I62"/>
    <mergeCell ref="B63:I63"/>
    <mergeCell ref="B56:I56"/>
    <mergeCell ref="B57:I57"/>
    <mergeCell ref="B58:I58"/>
    <mergeCell ref="B59:I59"/>
    <mergeCell ref="B60:K60"/>
    <mergeCell ref="B51:I51"/>
    <mergeCell ref="B53:I53"/>
    <mergeCell ref="B54:I54"/>
    <mergeCell ref="B55:I55"/>
    <mergeCell ref="B46:I46"/>
    <mergeCell ref="B47:I47"/>
    <mergeCell ref="B67:I67"/>
    <mergeCell ref="B66:I66"/>
    <mergeCell ref="B72:K72"/>
    <mergeCell ref="B73:I73"/>
    <mergeCell ref="B74:I74"/>
    <mergeCell ref="B75:I75"/>
    <mergeCell ref="B43:I43"/>
    <mergeCell ref="B44:I44"/>
    <mergeCell ref="B45:I45"/>
    <mergeCell ref="B5:H5"/>
    <mergeCell ref="B27:I27"/>
    <mergeCell ref="B28:I28"/>
    <mergeCell ref="B30:I30"/>
    <mergeCell ref="B31:I31"/>
    <mergeCell ref="B32:I32"/>
    <mergeCell ref="B29:I29"/>
    <mergeCell ref="B13:I13"/>
    <mergeCell ref="B14:I14"/>
    <mergeCell ref="B15:I15"/>
    <mergeCell ref="B16:I16"/>
    <mergeCell ref="B17:I17"/>
    <mergeCell ref="B18:I18"/>
    <mergeCell ref="B12:K12"/>
    <mergeCell ref="B25:I25"/>
    <mergeCell ref="B26:I26"/>
    <mergeCell ref="B19:I19"/>
    <mergeCell ref="B20:I20"/>
    <mergeCell ref="B21:I21"/>
    <mergeCell ref="B22:I22"/>
    <mergeCell ref="B23:I23"/>
    <mergeCell ref="B24:I24"/>
    <mergeCell ref="B88:K88"/>
    <mergeCell ref="B79:I79"/>
    <mergeCell ref="B80:I80"/>
    <mergeCell ref="B82:I82"/>
    <mergeCell ref="B84:I84"/>
    <mergeCell ref="B105:I105"/>
    <mergeCell ref="B106:I106"/>
    <mergeCell ref="B52:I52"/>
    <mergeCell ref="B33:I33"/>
    <mergeCell ref="B34:I34"/>
    <mergeCell ref="B35:I35"/>
    <mergeCell ref="B36:I36"/>
    <mergeCell ref="B37:I37"/>
    <mergeCell ref="B89:I89"/>
    <mergeCell ref="B92:I92"/>
    <mergeCell ref="B93:I93"/>
    <mergeCell ref="B85:I85"/>
    <mergeCell ref="B48:I48"/>
    <mergeCell ref="B71:I71"/>
    <mergeCell ref="B69:I69"/>
    <mergeCell ref="B70:I70"/>
    <mergeCell ref="B81:I81"/>
    <mergeCell ref="B83:I83"/>
    <mergeCell ref="B78:K78"/>
    <mergeCell ref="B107:I107"/>
    <mergeCell ref="B108:I108"/>
    <mergeCell ref="B109:I109"/>
    <mergeCell ref="B114:K114"/>
    <mergeCell ref="B117:I117"/>
    <mergeCell ref="B118:I118"/>
    <mergeCell ref="B90:I90"/>
    <mergeCell ref="B91:I91"/>
    <mergeCell ref="B98:I98"/>
    <mergeCell ref="B99:I99"/>
    <mergeCell ref="B102:I102"/>
    <mergeCell ref="B101:I101"/>
    <mergeCell ref="B100:I100"/>
    <mergeCell ref="B103:I103"/>
    <mergeCell ref="B94:I94"/>
    <mergeCell ref="B97:K97"/>
    <mergeCell ref="B119:I119"/>
    <mergeCell ref="B120:I120"/>
    <mergeCell ref="B121:I121"/>
    <mergeCell ref="B110:I110"/>
    <mergeCell ref="B111:I111"/>
    <mergeCell ref="B115:I115"/>
    <mergeCell ref="B116:I116"/>
    <mergeCell ref="B149:I149"/>
    <mergeCell ref="B122:I122"/>
    <mergeCell ref="B130:I130"/>
    <mergeCell ref="B131:I131"/>
    <mergeCell ref="B132:I132"/>
    <mergeCell ref="B133:I133"/>
    <mergeCell ref="B134:I134"/>
    <mergeCell ref="B136:I136"/>
    <mergeCell ref="B138:I138"/>
    <mergeCell ref="B139:I139"/>
    <mergeCell ref="B140:I140"/>
    <mergeCell ref="B124:I124"/>
    <mergeCell ref="B125:I125"/>
    <mergeCell ref="B126:I126"/>
    <mergeCell ref="B127:I127"/>
    <mergeCell ref="B129:I129"/>
    <mergeCell ref="B141:I141"/>
    <mergeCell ref="B254:I254"/>
    <mergeCell ref="B222:I222"/>
    <mergeCell ref="B223:I223"/>
    <mergeCell ref="B262:I262"/>
    <mergeCell ref="B224:I224"/>
    <mergeCell ref="B225:I225"/>
    <mergeCell ref="B226:I226"/>
    <mergeCell ref="B230:I230"/>
    <mergeCell ref="B235:I235"/>
    <mergeCell ref="B231:I231"/>
    <mergeCell ref="B232:I232"/>
    <mergeCell ref="B233:I233"/>
    <mergeCell ref="B234:I234"/>
    <mergeCell ref="B255:I255"/>
    <mergeCell ref="B256:I256"/>
    <mergeCell ref="B309:I309"/>
    <mergeCell ref="B310:I310"/>
    <mergeCell ref="B307:K307"/>
    <mergeCell ref="B312:K312"/>
    <mergeCell ref="B236:I236"/>
    <mergeCell ref="B237:I237"/>
    <mergeCell ref="B238:I238"/>
    <mergeCell ref="B311:I311"/>
    <mergeCell ref="B279:I279"/>
    <mergeCell ref="B280:I280"/>
    <mergeCell ref="B298:I298"/>
    <mergeCell ref="B301:I301"/>
    <mergeCell ref="B302:I302"/>
    <mergeCell ref="B274:I274"/>
    <mergeCell ref="B275:I275"/>
    <mergeCell ref="B276:I276"/>
    <mergeCell ref="B277:I277"/>
    <mergeCell ref="B278:I278"/>
    <mergeCell ref="B268:I268"/>
    <mergeCell ref="B270:I270"/>
    <mergeCell ref="B271:I271"/>
    <mergeCell ref="B303:I303"/>
    <mergeCell ref="B304:I304"/>
    <mergeCell ref="B308:I308"/>
    <mergeCell ref="B322:I322"/>
    <mergeCell ref="B323:I323"/>
    <mergeCell ref="B327:I327"/>
    <mergeCell ref="B328:I328"/>
    <mergeCell ref="B329:I329"/>
    <mergeCell ref="B326:K326"/>
    <mergeCell ref="B313:I313"/>
    <mergeCell ref="B314:I314"/>
    <mergeCell ref="B316:I316"/>
    <mergeCell ref="B321:I321"/>
    <mergeCell ref="B320:K320"/>
    <mergeCell ref="B317:I317"/>
    <mergeCell ref="B345:I345"/>
    <mergeCell ref="B346:I346"/>
    <mergeCell ref="B347:I347"/>
    <mergeCell ref="B348:I348"/>
    <mergeCell ref="B349:I349"/>
    <mergeCell ref="B330:I330"/>
    <mergeCell ref="B334:I334"/>
    <mergeCell ref="B335:I335"/>
    <mergeCell ref="B336:I336"/>
    <mergeCell ref="B344:I344"/>
    <mergeCell ref="B333:K333"/>
    <mergeCell ref="B343:K343"/>
    <mergeCell ref="B339:I339"/>
    <mergeCell ref="B338:I338"/>
    <mergeCell ref="B337:I337"/>
    <mergeCell ref="B359:I359"/>
    <mergeCell ref="B360:I360"/>
    <mergeCell ref="B361:I361"/>
    <mergeCell ref="B362:I362"/>
    <mergeCell ref="B355:I355"/>
    <mergeCell ref="B356:I356"/>
    <mergeCell ref="B357:I357"/>
    <mergeCell ref="B358:I358"/>
    <mergeCell ref="B350:I350"/>
    <mergeCell ref="B351:I351"/>
    <mergeCell ref="B352:I352"/>
    <mergeCell ref="B353:I353"/>
    <mergeCell ref="B354:I354"/>
    <mergeCell ref="B376:I376"/>
    <mergeCell ref="B372:I372"/>
    <mergeCell ref="B373:I373"/>
    <mergeCell ref="B375:I375"/>
    <mergeCell ref="B367:I367"/>
    <mergeCell ref="B368:I368"/>
    <mergeCell ref="B369:I369"/>
    <mergeCell ref="B370:I370"/>
    <mergeCell ref="B363:I363"/>
    <mergeCell ref="B364:I364"/>
    <mergeCell ref="B365:I365"/>
    <mergeCell ref="B366:I366"/>
    <mergeCell ref="B371:I371"/>
    <mergeCell ref="B145:K145"/>
    <mergeCell ref="B156:K156"/>
    <mergeCell ref="B150:I150"/>
    <mergeCell ref="B153:I153"/>
    <mergeCell ref="B146:I146"/>
    <mergeCell ref="B147:I147"/>
    <mergeCell ref="B148:I148"/>
    <mergeCell ref="B142:I142"/>
    <mergeCell ref="B185:I185"/>
    <mergeCell ref="B184:I184"/>
    <mergeCell ref="B177:I177"/>
    <mergeCell ref="B178:I178"/>
    <mergeCell ref="B169:I169"/>
    <mergeCell ref="B170:I170"/>
    <mergeCell ref="B161:I161"/>
    <mergeCell ref="B162:I162"/>
    <mergeCell ref="B163:I163"/>
    <mergeCell ref="B164:I164"/>
    <mergeCell ref="B159:K159"/>
    <mergeCell ref="B168:K168"/>
    <mergeCell ref="B165:I165"/>
    <mergeCell ref="B151:I151"/>
    <mergeCell ref="B179:I179"/>
    <mergeCell ref="B220:I220"/>
    <mergeCell ref="B217:K217"/>
    <mergeCell ref="B229:K229"/>
    <mergeCell ref="B210:I210"/>
    <mergeCell ref="B211:I211"/>
    <mergeCell ref="B212:I212"/>
    <mergeCell ref="B198:I198"/>
    <mergeCell ref="B199:I199"/>
    <mergeCell ref="B200:I200"/>
    <mergeCell ref="B193:K193"/>
    <mergeCell ref="B203:K203"/>
    <mergeCell ref="B209:K209"/>
    <mergeCell ref="B214:I214"/>
    <mergeCell ref="B213:I213"/>
    <mergeCell ref="B218:I218"/>
    <mergeCell ref="B219:I219"/>
    <mergeCell ref="B204:I204"/>
    <mergeCell ref="B205:I205"/>
    <mergeCell ref="B206:I206"/>
    <mergeCell ref="B187:I187"/>
    <mergeCell ref="B259:I259"/>
    <mergeCell ref="B261:I261"/>
    <mergeCell ref="B104:I104"/>
    <mergeCell ref="B283:I283"/>
    <mergeCell ref="B398:I398"/>
    <mergeCell ref="B135:I135"/>
    <mergeCell ref="B196:I196"/>
    <mergeCell ref="B197:K197"/>
    <mergeCell ref="B194:I194"/>
    <mergeCell ref="B195:I195"/>
    <mergeCell ref="B257:I257"/>
    <mergeCell ref="B258:I258"/>
    <mergeCell ref="B242:I242"/>
    <mergeCell ref="B243:I243"/>
    <mergeCell ref="B244:I244"/>
    <mergeCell ref="B241:K241"/>
    <mergeCell ref="B247:K247"/>
    <mergeCell ref="B299:I299"/>
    <mergeCell ref="B294:I294"/>
    <mergeCell ref="B295:I295"/>
    <mergeCell ref="B296:I296"/>
    <mergeCell ref="B182:I182"/>
    <mergeCell ref="B183:I183"/>
    <mergeCell ref="B300:I300"/>
    <mergeCell ref="B284:H284"/>
    <mergeCell ref="B297:K297"/>
    <mergeCell ref="B292:I292"/>
    <mergeCell ref="B266:I266"/>
    <mergeCell ref="B263:I263"/>
    <mergeCell ref="B264:I264"/>
    <mergeCell ref="B265:I265"/>
    <mergeCell ref="B267:I267"/>
    <mergeCell ref="B287:K287"/>
    <mergeCell ref="B272:I272"/>
    <mergeCell ref="B273:I273"/>
    <mergeCell ref="B269:K269"/>
    <mergeCell ref="B282:I282"/>
    <mergeCell ref="B291:I291"/>
    <mergeCell ref="B289:I289"/>
    <mergeCell ref="B288:I288"/>
    <mergeCell ref="B293:I293"/>
    <mergeCell ref="B393:I393"/>
    <mergeCell ref="B394:I394"/>
    <mergeCell ref="B395:I395"/>
    <mergeCell ref="B396:I396"/>
    <mergeCell ref="B380:K380"/>
    <mergeCell ref="B381:I381"/>
    <mergeCell ref="B382:I382"/>
    <mergeCell ref="B383:I383"/>
    <mergeCell ref="B384:I384"/>
    <mergeCell ref="B385:I385"/>
    <mergeCell ref="B386:I386"/>
    <mergeCell ref="B387:I387"/>
    <mergeCell ref="B411:I411"/>
    <mergeCell ref="B315:I315"/>
    <mergeCell ref="B152:I152"/>
    <mergeCell ref="B374:I374"/>
    <mergeCell ref="B406:I406"/>
    <mergeCell ref="B407:I407"/>
    <mergeCell ref="B408:I408"/>
    <mergeCell ref="B409:I409"/>
    <mergeCell ref="B410:I410"/>
    <mergeCell ref="B388:I388"/>
    <mergeCell ref="B389:I389"/>
    <mergeCell ref="B403:I403"/>
    <mergeCell ref="B401:I401"/>
    <mergeCell ref="B402:I402"/>
    <mergeCell ref="B405:I405"/>
    <mergeCell ref="B404:I404"/>
    <mergeCell ref="B397:I397"/>
    <mergeCell ref="B399:I399"/>
    <mergeCell ref="B400:I400"/>
    <mergeCell ref="B390:I390"/>
    <mergeCell ref="B391:I391"/>
    <mergeCell ref="B290:I290"/>
    <mergeCell ref="B260:I260"/>
    <mergeCell ref="B392:I392"/>
  </mergeCells>
  <pageMargins left="0.39370078740157483" right="0.39370078740157483" top="0.59055118110236227" bottom="0.39370078740157483" header="0.31496062992125984" footer="0.31496062992125984"/>
  <pageSetup paperSize="9" scale="52" firstPageNumber="14" fitToHeight="0" orientation="landscape" useFirstPageNumber="1" r:id="rId1"/>
  <headerFooter>
    <oddFooter>&amp;R&amp;14&amp;P</oddFooter>
    <evenFooter>&amp;R&amp;P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/>
  <dimension ref="A1:W393"/>
  <sheetViews>
    <sheetView view="pageBreakPreview" zoomScale="85" zoomScaleNormal="75" zoomScaleSheetLayoutView="85" workbookViewId="0">
      <pane ySplit="1" topLeftCell="A2" activePane="bottomLeft" state="frozen"/>
      <selection pane="bottomLeft" activeCell="E11" sqref="E11"/>
    </sheetView>
  </sheetViews>
  <sheetFormatPr defaultRowHeight="15.75" x14ac:dyDescent="0.25"/>
  <cols>
    <col min="1" max="1" width="9.140625" style="24" customWidth="1"/>
    <col min="2" max="2" width="70.7109375" style="26" customWidth="1"/>
    <col min="3" max="3" width="18.7109375" style="497" customWidth="1"/>
    <col min="4" max="5" width="18.7109375" style="197" customWidth="1"/>
    <col min="6" max="8" width="18.7109375" style="220" customWidth="1"/>
    <col min="9" max="9" width="9.85546875" style="28" customWidth="1"/>
    <col min="10" max="10" width="9.7109375" style="28" customWidth="1"/>
    <col min="11" max="11" width="10.140625" style="154" customWidth="1"/>
    <col min="12" max="14" width="9.140625" style="139"/>
    <col min="15" max="15" width="9.140625" style="19" customWidth="1"/>
    <col min="16" max="16" width="22.5703125" style="136" customWidth="1"/>
    <col min="17" max="23" width="9.140625" style="31" customWidth="1"/>
    <col min="24" max="256" width="9.140625" style="5"/>
    <col min="257" max="257" width="4.140625" style="5" customWidth="1"/>
    <col min="258" max="258" width="10.7109375" style="5" customWidth="1"/>
    <col min="259" max="259" width="70.7109375" style="5" customWidth="1"/>
    <col min="260" max="264" width="14.7109375" style="5" customWidth="1"/>
    <col min="265" max="265" width="10.5703125" style="5" customWidth="1"/>
    <col min="266" max="266" width="8.7109375" style="5" customWidth="1"/>
    <col min="267" max="268" width="14.42578125" style="5" customWidth="1"/>
    <col min="269" max="279" width="9.140625" style="5" customWidth="1"/>
    <col min="280" max="512" width="9.140625" style="5"/>
    <col min="513" max="513" width="4.140625" style="5" customWidth="1"/>
    <col min="514" max="514" width="10.7109375" style="5" customWidth="1"/>
    <col min="515" max="515" width="70.7109375" style="5" customWidth="1"/>
    <col min="516" max="520" width="14.7109375" style="5" customWidth="1"/>
    <col min="521" max="521" width="10.5703125" style="5" customWidth="1"/>
    <col min="522" max="522" width="8.7109375" style="5" customWidth="1"/>
    <col min="523" max="524" width="14.42578125" style="5" customWidth="1"/>
    <col min="525" max="535" width="9.140625" style="5" customWidth="1"/>
    <col min="536" max="768" width="9.140625" style="5"/>
    <col min="769" max="769" width="4.140625" style="5" customWidth="1"/>
    <col min="770" max="770" width="10.7109375" style="5" customWidth="1"/>
    <col min="771" max="771" width="70.7109375" style="5" customWidth="1"/>
    <col min="772" max="776" width="14.7109375" style="5" customWidth="1"/>
    <col min="777" max="777" width="10.5703125" style="5" customWidth="1"/>
    <col min="778" max="778" width="8.7109375" style="5" customWidth="1"/>
    <col min="779" max="780" width="14.42578125" style="5" customWidth="1"/>
    <col min="781" max="791" width="9.140625" style="5" customWidth="1"/>
    <col min="792" max="1024" width="9.140625" style="5"/>
    <col min="1025" max="1025" width="4.140625" style="5" customWidth="1"/>
    <col min="1026" max="1026" width="10.7109375" style="5" customWidth="1"/>
    <col min="1027" max="1027" width="70.7109375" style="5" customWidth="1"/>
    <col min="1028" max="1032" width="14.7109375" style="5" customWidth="1"/>
    <col min="1033" max="1033" width="10.5703125" style="5" customWidth="1"/>
    <col min="1034" max="1034" width="8.7109375" style="5" customWidth="1"/>
    <col min="1035" max="1036" width="14.42578125" style="5" customWidth="1"/>
    <col min="1037" max="1047" width="9.140625" style="5" customWidth="1"/>
    <col min="1048" max="1280" width="9.140625" style="5"/>
    <col min="1281" max="1281" width="4.140625" style="5" customWidth="1"/>
    <col min="1282" max="1282" width="10.7109375" style="5" customWidth="1"/>
    <col min="1283" max="1283" width="70.7109375" style="5" customWidth="1"/>
    <col min="1284" max="1288" width="14.7109375" style="5" customWidth="1"/>
    <col min="1289" max="1289" width="10.5703125" style="5" customWidth="1"/>
    <col min="1290" max="1290" width="8.7109375" style="5" customWidth="1"/>
    <col min="1291" max="1292" width="14.42578125" style="5" customWidth="1"/>
    <col min="1293" max="1303" width="9.140625" style="5" customWidth="1"/>
    <col min="1304" max="1536" width="9.140625" style="5"/>
    <col min="1537" max="1537" width="4.140625" style="5" customWidth="1"/>
    <col min="1538" max="1538" width="10.7109375" style="5" customWidth="1"/>
    <col min="1539" max="1539" width="70.7109375" style="5" customWidth="1"/>
    <col min="1540" max="1544" width="14.7109375" style="5" customWidth="1"/>
    <col min="1545" max="1545" width="10.5703125" style="5" customWidth="1"/>
    <col min="1546" max="1546" width="8.7109375" style="5" customWidth="1"/>
    <col min="1547" max="1548" width="14.42578125" style="5" customWidth="1"/>
    <col min="1549" max="1559" width="9.140625" style="5" customWidth="1"/>
    <col min="1560" max="1792" width="9.140625" style="5"/>
    <col min="1793" max="1793" width="4.140625" style="5" customWidth="1"/>
    <col min="1794" max="1794" width="10.7109375" style="5" customWidth="1"/>
    <col min="1795" max="1795" width="70.7109375" style="5" customWidth="1"/>
    <col min="1796" max="1800" width="14.7109375" style="5" customWidth="1"/>
    <col min="1801" max="1801" width="10.5703125" style="5" customWidth="1"/>
    <col min="1802" max="1802" width="8.7109375" style="5" customWidth="1"/>
    <col min="1803" max="1804" width="14.42578125" style="5" customWidth="1"/>
    <col min="1805" max="1815" width="9.140625" style="5" customWidth="1"/>
    <col min="1816" max="2048" width="9.140625" style="5"/>
    <col min="2049" max="2049" width="4.140625" style="5" customWidth="1"/>
    <col min="2050" max="2050" width="10.7109375" style="5" customWidth="1"/>
    <col min="2051" max="2051" width="70.7109375" style="5" customWidth="1"/>
    <col min="2052" max="2056" width="14.7109375" style="5" customWidth="1"/>
    <col min="2057" max="2057" width="10.5703125" style="5" customWidth="1"/>
    <col min="2058" max="2058" width="8.7109375" style="5" customWidth="1"/>
    <col min="2059" max="2060" width="14.42578125" style="5" customWidth="1"/>
    <col min="2061" max="2071" width="9.140625" style="5" customWidth="1"/>
    <col min="2072" max="2304" width="9.140625" style="5"/>
    <col min="2305" max="2305" width="4.140625" style="5" customWidth="1"/>
    <col min="2306" max="2306" width="10.7109375" style="5" customWidth="1"/>
    <col min="2307" max="2307" width="70.7109375" style="5" customWidth="1"/>
    <col min="2308" max="2312" width="14.7109375" style="5" customWidth="1"/>
    <col min="2313" max="2313" width="10.5703125" style="5" customWidth="1"/>
    <col min="2314" max="2314" width="8.7109375" style="5" customWidth="1"/>
    <col min="2315" max="2316" width="14.42578125" style="5" customWidth="1"/>
    <col min="2317" max="2327" width="9.140625" style="5" customWidth="1"/>
    <col min="2328" max="2560" width="9.140625" style="5"/>
    <col min="2561" max="2561" width="4.140625" style="5" customWidth="1"/>
    <col min="2562" max="2562" width="10.7109375" style="5" customWidth="1"/>
    <col min="2563" max="2563" width="70.7109375" style="5" customWidth="1"/>
    <col min="2564" max="2568" width="14.7109375" style="5" customWidth="1"/>
    <col min="2569" max="2569" width="10.5703125" style="5" customWidth="1"/>
    <col min="2570" max="2570" width="8.7109375" style="5" customWidth="1"/>
    <col min="2571" max="2572" width="14.42578125" style="5" customWidth="1"/>
    <col min="2573" max="2583" width="9.140625" style="5" customWidth="1"/>
    <col min="2584" max="2816" width="9.140625" style="5"/>
    <col min="2817" max="2817" width="4.140625" style="5" customWidth="1"/>
    <col min="2818" max="2818" width="10.7109375" style="5" customWidth="1"/>
    <col min="2819" max="2819" width="70.7109375" style="5" customWidth="1"/>
    <col min="2820" max="2824" width="14.7109375" style="5" customWidth="1"/>
    <col min="2825" max="2825" width="10.5703125" style="5" customWidth="1"/>
    <col min="2826" max="2826" width="8.7109375" style="5" customWidth="1"/>
    <col min="2827" max="2828" width="14.42578125" style="5" customWidth="1"/>
    <col min="2829" max="2839" width="9.140625" style="5" customWidth="1"/>
    <col min="2840" max="3072" width="9.140625" style="5"/>
    <col min="3073" max="3073" width="4.140625" style="5" customWidth="1"/>
    <col min="3074" max="3074" width="10.7109375" style="5" customWidth="1"/>
    <col min="3075" max="3075" width="70.7109375" style="5" customWidth="1"/>
    <col min="3076" max="3080" width="14.7109375" style="5" customWidth="1"/>
    <col min="3081" max="3081" width="10.5703125" style="5" customWidth="1"/>
    <col min="3082" max="3082" width="8.7109375" style="5" customWidth="1"/>
    <col min="3083" max="3084" width="14.42578125" style="5" customWidth="1"/>
    <col min="3085" max="3095" width="9.140625" style="5" customWidth="1"/>
    <col min="3096" max="3328" width="9.140625" style="5"/>
    <col min="3329" max="3329" width="4.140625" style="5" customWidth="1"/>
    <col min="3330" max="3330" width="10.7109375" style="5" customWidth="1"/>
    <col min="3331" max="3331" width="70.7109375" style="5" customWidth="1"/>
    <col min="3332" max="3336" width="14.7109375" style="5" customWidth="1"/>
    <col min="3337" max="3337" width="10.5703125" style="5" customWidth="1"/>
    <col min="3338" max="3338" width="8.7109375" style="5" customWidth="1"/>
    <col min="3339" max="3340" width="14.42578125" style="5" customWidth="1"/>
    <col min="3341" max="3351" width="9.140625" style="5" customWidth="1"/>
    <col min="3352" max="3584" width="9.140625" style="5"/>
    <col min="3585" max="3585" width="4.140625" style="5" customWidth="1"/>
    <col min="3586" max="3586" width="10.7109375" style="5" customWidth="1"/>
    <col min="3587" max="3587" width="70.7109375" style="5" customWidth="1"/>
    <col min="3588" max="3592" width="14.7109375" style="5" customWidth="1"/>
    <col min="3593" max="3593" width="10.5703125" style="5" customWidth="1"/>
    <col min="3594" max="3594" width="8.7109375" style="5" customWidth="1"/>
    <col min="3595" max="3596" width="14.42578125" style="5" customWidth="1"/>
    <col min="3597" max="3607" width="9.140625" style="5" customWidth="1"/>
    <col min="3608" max="3840" width="9.140625" style="5"/>
    <col min="3841" max="3841" width="4.140625" style="5" customWidth="1"/>
    <col min="3842" max="3842" width="10.7109375" style="5" customWidth="1"/>
    <col min="3843" max="3843" width="70.7109375" style="5" customWidth="1"/>
    <col min="3844" max="3848" width="14.7109375" style="5" customWidth="1"/>
    <col min="3849" max="3849" width="10.5703125" style="5" customWidth="1"/>
    <col min="3850" max="3850" width="8.7109375" style="5" customWidth="1"/>
    <col min="3851" max="3852" width="14.42578125" style="5" customWidth="1"/>
    <col min="3853" max="3863" width="9.140625" style="5" customWidth="1"/>
    <col min="3864" max="4096" width="9.140625" style="5"/>
    <col min="4097" max="4097" width="4.140625" style="5" customWidth="1"/>
    <col min="4098" max="4098" width="10.7109375" style="5" customWidth="1"/>
    <col min="4099" max="4099" width="70.7109375" style="5" customWidth="1"/>
    <col min="4100" max="4104" width="14.7109375" style="5" customWidth="1"/>
    <col min="4105" max="4105" width="10.5703125" style="5" customWidth="1"/>
    <col min="4106" max="4106" width="8.7109375" style="5" customWidth="1"/>
    <col min="4107" max="4108" width="14.42578125" style="5" customWidth="1"/>
    <col min="4109" max="4119" width="9.140625" style="5" customWidth="1"/>
    <col min="4120" max="4352" width="9.140625" style="5"/>
    <col min="4353" max="4353" width="4.140625" style="5" customWidth="1"/>
    <col min="4354" max="4354" width="10.7109375" style="5" customWidth="1"/>
    <col min="4355" max="4355" width="70.7109375" style="5" customWidth="1"/>
    <col min="4356" max="4360" width="14.7109375" style="5" customWidth="1"/>
    <col min="4361" max="4361" width="10.5703125" style="5" customWidth="1"/>
    <col min="4362" max="4362" width="8.7109375" style="5" customWidth="1"/>
    <col min="4363" max="4364" width="14.42578125" style="5" customWidth="1"/>
    <col min="4365" max="4375" width="9.140625" style="5" customWidth="1"/>
    <col min="4376" max="4608" width="9.140625" style="5"/>
    <col min="4609" max="4609" width="4.140625" style="5" customWidth="1"/>
    <col min="4610" max="4610" width="10.7109375" style="5" customWidth="1"/>
    <col min="4611" max="4611" width="70.7109375" style="5" customWidth="1"/>
    <col min="4612" max="4616" width="14.7109375" style="5" customWidth="1"/>
    <col min="4617" max="4617" width="10.5703125" style="5" customWidth="1"/>
    <col min="4618" max="4618" width="8.7109375" style="5" customWidth="1"/>
    <col min="4619" max="4620" width="14.42578125" style="5" customWidth="1"/>
    <col min="4621" max="4631" width="9.140625" style="5" customWidth="1"/>
    <col min="4632" max="4864" width="9.140625" style="5"/>
    <col min="4865" max="4865" width="4.140625" style="5" customWidth="1"/>
    <col min="4866" max="4866" width="10.7109375" style="5" customWidth="1"/>
    <col min="4867" max="4867" width="70.7109375" style="5" customWidth="1"/>
    <col min="4868" max="4872" width="14.7109375" style="5" customWidth="1"/>
    <col min="4873" max="4873" width="10.5703125" style="5" customWidth="1"/>
    <col min="4874" max="4874" width="8.7109375" style="5" customWidth="1"/>
    <col min="4875" max="4876" width="14.42578125" style="5" customWidth="1"/>
    <col min="4877" max="4887" width="9.140625" style="5" customWidth="1"/>
    <col min="4888" max="5120" width="9.140625" style="5"/>
    <col min="5121" max="5121" width="4.140625" style="5" customWidth="1"/>
    <col min="5122" max="5122" width="10.7109375" style="5" customWidth="1"/>
    <col min="5123" max="5123" width="70.7109375" style="5" customWidth="1"/>
    <col min="5124" max="5128" width="14.7109375" style="5" customWidth="1"/>
    <col min="5129" max="5129" width="10.5703125" style="5" customWidth="1"/>
    <col min="5130" max="5130" width="8.7109375" style="5" customWidth="1"/>
    <col min="5131" max="5132" width="14.42578125" style="5" customWidth="1"/>
    <col min="5133" max="5143" width="9.140625" style="5" customWidth="1"/>
    <col min="5144" max="5376" width="9.140625" style="5"/>
    <col min="5377" max="5377" width="4.140625" style="5" customWidth="1"/>
    <col min="5378" max="5378" width="10.7109375" style="5" customWidth="1"/>
    <col min="5379" max="5379" width="70.7109375" style="5" customWidth="1"/>
    <col min="5380" max="5384" width="14.7109375" style="5" customWidth="1"/>
    <col min="5385" max="5385" width="10.5703125" style="5" customWidth="1"/>
    <col min="5386" max="5386" width="8.7109375" style="5" customWidth="1"/>
    <col min="5387" max="5388" width="14.42578125" style="5" customWidth="1"/>
    <col min="5389" max="5399" width="9.140625" style="5" customWidth="1"/>
    <col min="5400" max="5632" width="9.140625" style="5"/>
    <col min="5633" max="5633" width="4.140625" style="5" customWidth="1"/>
    <col min="5634" max="5634" width="10.7109375" style="5" customWidth="1"/>
    <col min="5635" max="5635" width="70.7109375" style="5" customWidth="1"/>
    <col min="5636" max="5640" width="14.7109375" style="5" customWidth="1"/>
    <col min="5641" max="5641" width="10.5703125" style="5" customWidth="1"/>
    <col min="5642" max="5642" width="8.7109375" style="5" customWidth="1"/>
    <col min="5643" max="5644" width="14.42578125" style="5" customWidth="1"/>
    <col min="5645" max="5655" width="9.140625" style="5" customWidth="1"/>
    <col min="5656" max="5888" width="9.140625" style="5"/>
    <col min="5889" max="5889" width="4.140625" style="5" customWidth="1"/>
    <col min="5890" max="5890" width="10.7109375" style="5" customWidth="1"/>
    <col min="5891" max="5891" width="70.7109375" style="5" customWidth="1"/>
    <col min="5892" max="5896" width="14.7109375" style="5" customWidth="1"/>
    <col min="5897" max="5897" width="10.5703125" style="5" customWidth="1"/>
    <col min="5898" max="5898" width="8.7109375" style="5" customWidth="1"/>
    <col min="5899" max="5900" width="14.42578125" style="5" customWidth="1"/>
    <col min="5901" max="5911" width="9.140625" style="5" customWidth="1"/>
    <col min="5912" max="6144" width="9.140625" style="5"/>
    <col min="6145" max="6145" width="4.140625" style="5" customWidth="1"/>
    <col min="6146" max="6146" width="10.7109375" style="5" customWidth="1"/>
    <col min="6147" max="6147" width="70.7109375" style="5" customWidth="1"/>
    <col min="6148" max="6152" width="14.7109375" style="5" customWidth="1"/>
    <col min="6153" max="6153" width="10.5703125" style="5" customWidth="1"/>
    <col min="6154" max="6154" width="8.7109375" style="5" customWidth="1"/>
    <col min="6155" max="6156" width="14.42578125" style="5" customWidth="1"/>
    <col min="6157" max="6167" width="9.140625" style="5" customWidth="1"/>
    <col min="6168" max="6400" width="9.140625" style="5"/>
    <col min="6401" max="6401" width="4.140625" style="5" customWidth="1"/>
    <col min="6402" max="6402" width="10.7109375" style="5" customWidth="1"/>
    <col min="6403" max="6403" width="70.7109375" style="5" customWidth="1"/>
    <col min="6404" max="6408" width="14.7109375" style="5" customWidth="1"/>
    <col min="6409" max="6409" width="10.5703125" style="5" customWidth="1"/>
    <col min="6410" max="6410" width="8.7109375" style="5" customWidth="1"/>
    <col min="6411" max="6412" width="14.42578125" style="5" customWidth="1"/>
    <col min="6413" max="6423" width="9.140625" style="5" customWidth="1"/>
    <col min="6424" max="6656" width="9.140625" style="5"/>
    <col min="6657" max="6657" width="4.140625" style="5" customWidth="1"/>
    <col min="6658" max="6658" width="10.7109375" style="5" customWidth="1"/>
    <col min="6659" max="6659" width="70.7109375" style="5" customWidth="1"/>
    <col min="6660" max="6664" width="14.7109375" style="5" customWidth="1"/>
    <col min="6665" max="6665" width="10.5703125" style="5" customWidth="1"/>
    <col min="6666" max="6666" width="8.7109375" style="5" customWidth="1"/>
    <col min="6667" max="6668" width="14.42578125" style="5" customWidth="1"/>
    <col min="6669" max="6679" width="9.140625" style="5" customWidth="1"/>
    <col min="6680" max="6912" width="9.140625" style="5"/>
    <col min="6913" max="6913" width="4.140625" style="5" customWidth="1"/>
    <col min="6914" max="6914" width="10.7109375" style="5" customWidth="1"/>
    <col min="6915" max="6915" width="70.7109375" style="5" customWidth="1"/>
    <col min="6916" max="6920" width="14.7109375" style="5" customWidth="1"/>
    <col min="6921" max="6921" width="10.5703125" style="5" customWidth="1"/>
    <col min="6922" max="6922" width="8.7109375" style="5" customWidth="1"/>
    <col min="6923" max="6924" width="14.42578125" style="5" customWidth="1"/>
    <col min="6925" max="6935" width="9.140625" style="5" customWidth="1"/>
    <col min="6936" max="7168" width="9.140625" style="5"/>
    <col min="7169" max="7169" width="4.140625" style="5" customWidth="1"/>
    <col min="7170" max="7170" width="10.7109375" style="5" customWidth="1"/>
    <col min="7171" max="7171" width="70.7109375" style="5" customWidth="1"/>
    <col min="7172" max="7176" width="14.7109375" style="5" customWidth="1"/>
    <col min="7177" max="7177" width="10.5703125" style="5" customWidth="1"/>
    <col min="7178" max="7178" width="8.7109375" style="5" customWidth="1"/>
    <col min="7179" max="7180" width="14.42578125" style="5" customWidth="1"/>
    <col min="7181" max="7191" width="9.140625" style="5" customWidth="1"/>
    <col min="7192" max="7424" width="9.140625" style="5"/>
    <col min="7425" max="7425" width="4.140625" style="5" customWidth="1"/>
    <col min="7426" max="7426" width="10.7109375" style="5" customWidth="1"/>
    <col min="7427" max="7427" width="70.7109375" style="5" customWidth="1"/>
    <col min="7428" max="7432" width="14.7109375" style="5" customWidth="1"/>
    <col min="7433" max="7433" width="10.5703125" style="5" customWidth="1"/>
    <col min="7434" max="7434" width="8.7109375" style="5" customWidth="1"/>
    <col min="7435" max="7436" width="14.42578125" style="5" customWidth="1"/>
    <col min="7437" max="7447" width="9.140625" style="5" customWidth="1"/>
    <col min="7448" max="7680" width="9.140625" style="5"/>
    <col min="7681" max="7681" width="4.140625" style="5" customWidth="1"/>
    <col min="7682" max="7682" width="10.7109375" style="5" customWidth="1"/>
    <col min="7683" max="7683" width="70.7109375" style="5" customWidth="1"/>
    <col min="7684" max="7688" width="14.7109375" style="5" customWidth="1"/>
    <col min="7689" max="7689" width="10.5703125" style="5" customWidth="1"/>
    <col min="7690" max="7690" width="8.7109375" style="5" customWidth="1"/>
    <col min="7691" max="7692" width="14.42578125" style="5" customWidth="1"/>
    <col min="7693" max="7703" width="9.140625" style="5" customWidth="1"/>
    <col min="7704" max="7936" width="9.140625" style="5"/>
    <col min="7937" max="7937" width="4.140625" style="5" customWidth="1"/>
    <col min="7938" max="7938" width="10.7109375" style="5" customWidth="1"/>
    <col min="7939" max="7939" width="70.7109375" style="5" customWidth="1"/>
    <col min="7940" max="7944" width="14.7109375" style="5" customWidth="1"/>
    <col min="7945" max="7945" width="10.5703125" style="5" customWidth="1"/>
    <col min="7946" max="7946" width="8.7109375" style="5" customWidth="1"/>
    <col min="7947" max="7948" width="14.42578125" style="5" customWidth="1"/>
    <col min="7949" max="7959" width="9.140625" style="5" customWidth="1"/>
    <col min="7960" max="8192" width="9.140625" style="5"/>
    <col min="8193" max="8193" width="4.140625" style="5" customWidth="1"/>
    <col min="8194" max="8194" width="10.7109375" style="5" customWidth="1"/>
    <col min="8195" max="8195" width="70.7109375" style="5" customWidth="1"/>
    <col min="8196" max="8200" width="14.7109375" style="5" customWidth="1"/>
    <col min="8201" max="8201" width="10.5703125" style="5" customWidth="1"/>
    <col min="8202" max="8202" width="8.7109375" style="5" customWidth="1"/>
    <col min="8203" max="8204" width="14.42578125" style="5" customWidth="1"/>
    <col min="8205" max="8215" width="9.140625" style="5" customWidth="1"/>
    <col min="8216" max="8448" width="9.140625" style="5"/>
    <col min="8449" max="8449" width="4.140625" style="5" customWidth="1"/>
    <col min="8450" max="8450" width="10.7109375" style="5" customWidth="1"/>
    <col min="8451" max="8451" width="70.7109375" style="5" customWidth="1"/>
    <col min="8452" max="8456" width="14.7109375" style="5" customWidth="1"/>
    <col min="8457" max="8457" width="10.5703125" style="5" customWidth="1"/>
    <col min="8458" max="8458" width="8.7109375" style="5" customWidth="1"/>
    <col min="8459" max="8460" width="14.42578125" style="5" customWidth="1"/>
    <col min="8461" max="8471" width="9.140625" style="5" customWidth="1"/>
    <col min="8472" max="8704" width="9.140625" style="5"/>
    <col min="8705" max="8705" width="4.140625" style="5" customWidth="1"/>
    <col min="8706" max="8706" width="10.7109375" style="5" customWidth="1"/>
    <col min="8707" max="8707" width="70.7109375" style="5" customWidth="1"/>
    <col min="8708" max="8712" width="14.7109375" style="5" customWidth="1"/>
    <col min="8713" max="8713" width="10.5703125" style="5" customWidth="1"/>
    <col min="8714" max="8714" width="8.7109375" style="5" customWidth="1"/>
    <col min="8715" max="8716" width="14.42578125" style="5" customWidth="1"/>
    <col min="8717" max="8727" width="9.140625" style="5" customWidth="1"/>
    <col min="8728" max="8960" width="9.140625" style="5"/>
    <col min="8961" max="8961" width="4.140625" style="5" customWidth="1"/>
    <col min="8962" max="8962" width="10.7109375" style="5" customWidth="1"/>
    <col min="8963" max="8963" width="70.7109375" style="5" customWidth="1"/>
    <col min="8964" max="8968" width="14.7109375" style="5" customWidth="1"/>
    <col min="8969" max="8969" width="10.5703125" style="5" customWidth="1"/>
    <col min="8970" max="8970" width="8.7109375" style="5" customWidth="1"/>
    <col min="8971" max="8972" width="14.42578125" style="5" customWidth="1"/>
    <col min="8973" max="8983" width="9.140625" style="5" customWidth="1"/>
    <col min="8984" max="9216" width="9.140625" style="5"/>
    <col min="9217" max="9217" width="4.140625" style="5" customWidth="1"/>
    <col min="9218" max="9218" width="10.7109375" style="5" customWidth="1"/>
    <col min="9219" max="9219" width="70.7109375" style="5" customWidth="1"/>
    <col min="9220" max="9224" width="14.7109375" style="5" customWidth="1"/>
    <col min="9225" max="9225" width="10.5703125" style="5" customWidth="1"/>
    <col min="9226" max="9226" width="8.7109375" style="5" customWidth="1"/>
    <col min="9227" max="9228" width="14.42578125" style="5" customWidth="1"/>
    <col min="9229" max="9239" width="9.140625" style="5" customWidth="1"/>
    <col min="9240" max="9472" width="9.140625" style="5"/>
    <col min="9473" max="9473" width="4.140625" style="5" customWidth="1"/>
    <col min="9474" max="9474" width="10.7109375" style="5" customWidth="1"/>
    <col min="9475" max="9475" width="70.7109375" style="5" customWidth="1"/>
    <col min="9476" max="9480" width="14.7109375" style="5" customWidth="1"/>
    <col min="9481" max="9481" width="10.5703125" style="5" customWidth="1"/>
    <col min="9482" max="9482" width="8.7109375" style="5" customWidth="1"/>
    <col min="9483" max="9484" width="14.42578125" style="5" customWidth="1"/>
    <col min="9485" max="9495" width="9.140625" style="5" customWidth="1"/>
    <col min="9496" max="9728" width="9.140625" style="5"/>
    <col min="9729" max="9729" width="4.140625" style="5" customWidth="1"/>
    <col min="9730" max="9730" width="10.7109375" style="5" customWidth="1"/>
    <col min="9731" max="9731" width="70.7109375" style="5" customWidth="1"/>
    <col min="9732" max="9736" width="14.7109375" style="5" customWidth="1"/>
    <col min="9737" max="9737" width="10.5703125" style="5" customWidth="1"/>
    <col min="9738" max="9738" width="8.7109375" style="5" customWidth="1"/>
    <col min="9739" max="9740" width="14.42578125" style="5" customWidth="1"/>
    <col min="9741" max="9751" width="9.140625" style="5" customWidth="1"/>
    <col min="9752" max="9984" width="9.140625" style="5"/>
    <col min="9985" max="9985" width="4.140625" style="5" customWidth="1"/>
    <col min="9986" max="9986" width="10.7109375" style="5" customWidth="1"/>
    <col min="9987" max="9987" width="70.7109375" style="5" customWidth="1"/>
    <col min="9988" max="9992" width="14.7109375" style="5" customWidth="1"/>
    <col min="9993" max="9993" width="10.5703125" style="5" customWidth="1"/>
    <col min="9994" max="9994" width="8.7109375" style="5" customWidth="1"/>
    <col min="9995" max="9996" width="14.42578125" style="5" customWidth="1"/>
    <col min="9997" max="10007" width="9.140625" style="5" customWidth="1"/>
    <col min="10008" max="10240" width="9.140625" style="5"/>
    <col min="10241" max="10241" width="4.140625" style="5" customWidth="1"/>
    <col min="10242" max="10242" width="10.7109375" style="5" customWidth="1"/>
    <col min="10243" max="10243" width="70.7109375" style="5" customWidth="1"/>
    <col min="10244" max="10248" width="14.7109375" style="5" customWidth="1"/>
    <col min="10249" max="10249" width="10.5703125" style="5" customWidth="1"/>
    <col min="10250" max="10250" width="8.7109375" style="5" customWidth="1"/>
    <col min="10251" max="10252" width="14.42578125" style="5" customWidth="1"/>
    <col min="10253" max="10263" width="9.140625" style="5" customWidth="1"/>
    <col min="10264" max="10496" width="9.140625" style="5"/>
    <col min="10497" max="10497" width="4.140625" style="5" customWidth="1"/>
    <col min="10498" max="10498" width="10.7109375" style="5" customWidth="1"/>
    <col min="10499" max="10499" width="70.7109375" style="5" customWidth="1"/>
    <col min="10500" max="10504" width="14.7109375" style="5" customWidth="1"/>
    <col min="10505" max="10505" width="10.5703125" style="5" customWidth="1"/>
    <col min="10506" max="10506" width="8.7109375" style="5" customWidth="1"/>
    <col min="10507" max="10508" width="14.42578125" style="5" customWidth="1"/>
    <col min="10509" max="10519" width="9.140625" style="5" customWidth="1"/>
    <col min="10520" max="10752" width="9.140625" style="5"/>
    <col min="10753" max="10753" width="4.140625" style="5" customWidth="1"/>
    <col min="10754" max="10754" width="10.7109375" style="5" customWidth="1"/>
    <col min="10755" max="10755" width="70.7109375" style="5" customWidth="1"/>
    <col min="10756" max="10760" width="14.7109375" style="5" customWidth="1"/>
    <col min="10761" max="10761" width="10.5703125" style="5" customWidth="1"/>
    <col min="10762" max="10762" width="8.7109375" style="5" customWidth="1"/>
    <col min="10763" max="10764" width="14.42578125" style="5" customWidth="1"/>
    <col min="10765" max="10775" width="9.140625" style="5" customWidth="1"/>
    <col min="10776" max="11008" width="9.140625" style="5"/>
    <col min="11009" max="11009" width="4.140625" style="5" customWidth="1"/>
    <col min="11010" max="11010" width="10.7109375" style="5" customWidth="1"/>
    <col min="11011" max="11011" width="70.7109375" style="5" customWidth="1"/>
    <col min="11012" max="11016" width="14.7109375" style="5" customWidth="1"/>
    <col min="11017" max="11017" width="10.5703125" style="5" customWidth="1"/>
    <col min="11018" max="11018" width="8.7109375" style="5" customWidth="1"/>
    <col min="11019" max="11020" width="14.42578125" style="5" customWidth="1"/>
    <col min="11021" max="11031" width="9.140625" style="5" customWidth="1"/>
    <col min="11032" max="11264" width="9.140625" style="5"/>
    <col min="11265" max="11265" width="4.140625" style="5" customWidth="1"/>
    <col min="11266" max="11266" width="10.7109375" style="5" customWidth="1"/>
    <col min="11267" max="11267" width="70.7109375" style="5" customWidth="1"/>
    <col min="11268" max="11272" width="14.7109375" style="5" customWidth="1"/>
    <col min="11273" max="11273" width="10.5703125" style="5" customWidth="1"/>
    <col min="11274" max="11274" width="8.7109375" style="5" customWidth="1"/>
    <col min="11275" max="11276" width="14.42578125" style="5" customWidth="1"/>
    <col min="11277" max="11287" width="9.140625" style="5" customWidth="1"/>
    <col min="11288" max="11520" width="9.140625" style="5"/>
    <col min="11521" max="11521" width="4.140625" style="5" customWidth="1"/>
    <col min="11522" max="11522" width="10.7109375" style="5" customWidth="1"/>
    <col min="11523" max="11523" width="70.7109375" style="5" customWidth="1"/>
    <col min="11524" max="11528" width="14.7109375" style="5" customWidth="1"/>
    <col min="11529" max="11529" width="10.5703125" style="5" customWidth="1"/>
    <col min="11530" max="11530" width="8.7109375" style="5" customWidth="1"/>
    <col min="11531" max="11532" width="14.42578125" style="5" customWidth="1"/>
    <col min="11533" max="11543" width="9.140625" style="5" customWidth="1"/>
    <col min="11544" max="11776" width="9.140625" style="5"/>
    <col min="11777" max="11777" width="4.140625" style="5" customWidth="1"/>
    <col min="11778" max="11778" width="10.7109375" style="5" customWidth="1"/>
    <col min="11779" max="11779" width="70.7109375" style="5" customWidth="1"/>
    <col min="11780" max="11784" width="14.7109375" style="5" customWidth="1"/>
    <col min="11785" max="11785" width="10.5703125" style="5" customWidth="1"/>
    <col min="11786" max="11786" width="8.7109375" style="5" customWidth="1"/>
    <col min="11787" max="11788" width="14.42578125" style="5" customWidth="1"/>
    <col min="11789" max="11799" width="9.140625" style="5" customWidth="1"/>
    <col min="11800" max="12032" width="9.140625" style="5"/>
    <col min="12033" max="12033" width="4.140625" style="5" customWidth="1"/>
    <col min="12034" max="12034" width="10.7109375" style="5" customWidth="1"/>
    <col min="12035" max="12035" width="70.7109375" style="5" customWidth="1"/>
    <col min="12036" max="12040" width="14.7109375" style="5" customWidth="1"/>
    <col min="12041" max="12041" width="10.5703125" style="5" customWidth="1"/>
    <col min="12042" max="12042" width="8.7109375" style="5" customWidth="1"/>
    <col min="12043" max="12044" width="14.42578125" style="5" customWidth="1"/>
    <col min="12045" max="12055" width="9.140625" style="5" customWidth="1"/>
    <col min="12056" max="12288" width="9.140625" style="5"/>
    <col min="12289" max="12289" width="4.140625" style="5" customWidth="1"/>
    <col min="12290" max="12290" width="10.7109375" style="5" customWidth="1"/>
    <col min="12291" max="12291" width="70.7109375" style="5" customWidth="1"/>
    <col min="12292" max="12296" width="14.7109375" style="5" customWidth="1"/>
    <col min="12297" max="12297" width="10.5703125" style="5" customWidth="1"/>
    <col min="12298" max="12298" width="8.7109375" style="5" customWidth="1"/>
    <col min="12299" max="12300" width="14.42578125" style="5" customWidth="1"/>
    <col min="12301" max="12311" width="9.140625" style="5" customWidth="1"/>
    <col min="12312" max="12544" width="9.140625" style="5"/>
    <col min="12545" max="12545" width="4.140625" style="5" customWidth="1"/>
    <col min="12546" max="12546" width="10.7109375" style="5" customWidth="1"/>
    <col min="12547" max="12547" width="70.7109375" style="5" customWidth="1"/>
    <col min="12548" max="12552" width="14.7109375" style="5" customWidth="1"/>
    <col min="12553" max="12553" width="10.5703125" style="5" customWidth="1"/>
    <col min="12554" max="12554" width="8.7109375" style="5" customWidth="1"/>
    <col min="12555" max="12556" width="14.42578125" style="5" customWidth="1"/>
    <col min="12557" max="12567" width="9.140625" style="5" customWidth="1"/>
    <col min="12568" max="12800" width="9.140625" style="5"/>
    <col min="12801" max="12801" width="4.140625" style="5" customWidth="1"/>
    <col min="12802" max="12802" width="10.7109375" style="5" customWidth="1"/>
    <col min="12803" max="12803" width="70.7109375" style="5" customWidth="1"/>
    <col min="12804" max="12808" width="14.7109375" style="5" customWidth="1"/>
    <col min="12809" max="12809" width="10.5703125" style="5" customWidth="1"/>
    <col min="12810" max="12810" width="8.7109375" style="5" customWidth="1"/>
    <col min="12811" max="12812" width="14.42578125" style="5" customWidth="1"/>
    <col min="12813" max="12823" width="9.140625" style="5" customWidth="1"/>
    <col min="12824" max="13056" width="9.140625" style="5"/>
    <col min="13057" max="13057" width="4.140625" style="5" customWidth="1"/>
    <col min="13058" max="13058" width="10.7109375" style="5" customWidth="1"/>
    <col min="13059" max="13059" width="70.7109375" style="5" customWidth="1"/>
    <col min="13060" max="13064" width="14.7109375" style="5" customWidth="1"/>
    <col min="13065" max="13065" width="10.5703125" style="5" customWidth="1"/>
    <col min="13066" max="13066" width="8.7109375" style="5" customWidth="1"/>
    <col min="13067" max="13068" width="14.42578125" style="5" customWidth="1"/>
    <col min="13069" max="13079" width="9.140625" style="5" customWidth="1"/>
    <col min="13080" max="13312" width="9.140625" style="5"/>
    <col min="13313" max="13313" width="4.140625" style="5" customWidth="1"/>
    <col min="13314" max="13314" width="10.7109375" style="5" customWidth="1"/>
    <col min="13315" max="13315" width="70.7109375" style="5" customWidth="1"/>
    <col min="13316" max="13320" width="14.7109375" style="5" customWidth="1"/>
    <col min="13321" max="13321" width="10.5703125" style="5" customWidth="1"/>
    <col min="13322" max="13322" width="8.7109375" style="5" customWidth="1"/>
    <col min="13323" max="13324" width="14.42578125" style="5" customWidth="1"/>
    <col min="13325" max="13335" width="9.140625" style="5" customWidth="1"/>
    <col min="13336" max="13568" width="9.140625" style="5"/>
    <col min="13569" max="13569" width="4.140625" style="5" customWidth="1"/>
    <col min="13570" max="13570" width="10.7109375" style="5" customWidth="1"/>
    <col min="13571" max="13571" width="70.7109375" style="5" customWidth="1"/>
    <col min="13572" max="13576" width="14.7109375" style="5" customWidth="1"/>
    <col min="13577" max="13577" width="10.5703125" style="5" customWidth="1"/>
    <col min="13578" max="13578" width="8.7109375" style="5" customWidth="1"/>
    <col min="13579" max="13580" width="14.42578125" style="5" customWidth="1"/>
    <col min="13581" max="13591" width="9.140625" style="5" customWidth="1"/>
    <col min="13592" max="13824" width="9.140625" style="5"/>
    <col min="13825" max="13825" width="4.140625" style="5" customWidth="1"/>
    <col min="13826" max="13826" width="10.7109375" style="5" customWidth="1"/>
    <col min="13827" max="13827" width="70.7109375" style="5" customWidth="1"/>
    <col min="13828" max="13832" width="14.7109375" style="5" customWidth="1"/>
    <col min="13833" max="13833" width="10.5703125" style="5" customWidth="1"/>
    <col min="13834" max="13834" width="8.7109375" style="5" customWidth="1"/>
    <col min="13835" max="13836" width="14.42578125" style="5" customWidth="1"/>
    <col min="13837" max="13847" width="9.140625" style="5" customWidth="1"/>
    <col min="13848" max="14080" width="9.140625" style="5"/>
    <col min="14081" max="14081" width="4.140625" style="5" customWidth="1"/>
    <col min="14082" max="14082" width="10.7109375" style="5" customWidth="1"/>
    <col min="14083" max="14083" width="70.7109375" style="5" customWidth="1"/>
    <col min="14084" max="14088" width="14.7109375" style="5" customWidth="1"/>
    <col min="14089" max="14089" width="10.5703125" style="5" customWidth="1"/>
    <col min="14090" max="14090" width="8.7109375" style="5" customWidth="1"/>
    <col min="14091" max="14092" width="14.42578125" style="5" customWidth="1"/>
    <col min="14093" max="14103" width="9.140625" style="5" customWidth="1"/>
    <col min="14104" max="14336" width="9.140625" style="5"/>
    <col min="14337" max="14337" width="4.140625" style="5" customWidth="1"/>
    <col min="14338" max="14338" width="10.7109375" style="5" customWidth="1"/>
    <col min="14339" max="14339" width="70.7109375" style="5" customWidth="1"/>
    <col min="14340" max="14344" width="14.7109375" style="5" customWidth="1"/>
    <col min="14345" max="14345" width="10.5703125" style="5" customWidth="1"/>
    <col min="14346" max="14346" width="8.7109375" style="5" customWidth="1"/>
    <col min="14347" max="14348" width="14.42578125" style="5" customWidth="1"/>
    <col min="14349" max="14359" width="9.140625" style="5" customWidth="1"/>
    <col min="14360" max="14592" width="9.140625" style="5"/>
    <col min="14593" max="14593" width="4.140625" style="5" customWidth="1"/>
    <col min="14594" max="14594" width="10.7109375" style="5" customWidth="1"/>
    <col min="14595" max="14595" width="70.7109375" style="5" customWidth="1"/>
    <col min="14596" max="14600" width="14.7109375" style="5" customWidth="1"/>
    <col min="14601" max="14601" width="10.5703125" style="5" customWidth="1"/>
    <col min="14602" max="14602" width="8.7109375" style="5" customWidth="1"/>
    <col min="14603" max="14604" width="14.42578125" style="5" customWidth="1"/>
    <col min="14605" max="14615" width="9.140625" style="5" customWidth="1"/>
    <col min="14616" max="14848" width="9.140625" style="5"/>
    <col min="14849" max="14849" width="4.140625" style="5" customWidth="1"/>
    <col min="14850" max="14850" width="10.7109375" style="5" customWidth="1"/>
    <col min="14851" max="14851" width="70.7109375" style="5" customWidth="1"/>
    <col min="14852" max="14856" width="14.7109375" style="5" customWidth="1"/>
    <col min="14857" max="14857" width="10.5703125" style="5" customWidth="1"/>
    <col min="14858" max="14858" width="8.7109375" style="5" customWidth="1"/>
    <col min="14859" max="14860" width="14.42578125" style="5" customWidth="1"/>
    <col min="14861" max="14871" width="9.140625" style="5" customWidth="1"/>
    <col min="14872" max="15104" width="9.140625" style="5"/>
    <col min="15105" max="15105" width="4.140625" style="5" customWidth="1"/>
    <col min="15106" max="15106" width="10.7109375" style="5" customWidth="1"/>
    <col min="15107" max="15107" width="70.7109375" style="5" customWidth="1"/>
    <col min="15108" max="15112" width="14.7109375" style="5" customWidth="1"/>
    <col min="15113" max="15113" width="10.5703125" style="5" customWidth="1"/>
    <col min="15114" max="15114" width="8.7109375" style="5" customWidth="1"/>
    <col min="15115" max="15116" width="14.42578125" style="5" customWidth="1"/>
    <col min="15117" max="15127" width="9.140625" style="5" customWidth="1"/>
    <col min="15128" max="15360" width="9.140625" style="5"/>
    <col min="15361" max="15361" width="4.140625" style="5" customWidth="1"/>
    <col min="15362" max="15362" width="10.7109375" style="5" customWidth="1"/>
    <col min="15363" max="15363" width="70.7109375" style="5" customWidth="1"/>
    <col min="15364" max="15368" width="14.7109375" style="5" customWidth="1"/>
    <col min="15369" max="15369" width="10.5703125" style="5" customWidth="1"/>
    <col min="15370" max="15370" width="8.7109375" style="5" customWidth="1"/>
    <col min="15371" max="15372" width="14.42578125" style="5" customWidth="1"/>
    <col min="15373" max="15383" width="9.140625" style="5" customWidth="1"/>
    <col min="15384" max="15616" width="9.140625" style="5"/>
    <col min="15617" max="15617" width="4.140625" style="5" customWidth="1"/>
    <col min="15618" max="15618" width="10.7109375" style="5" customWidth="1"/>
    <col min="15619" max="15619" width="70.7109375" style="5" customWidth="1"/>
    <col min="15620" max="15624" width="14.7109375" style="5" customWidth="1"/>
    <col min="15625" max="15625" width="10.5703125" style="5" customWidth="1"/>
    <col min="15626" max="15626" width="8.7109375" style="5" customWidth="1"/>
    <col min="15627" max="15628" width="14.42578125" style="5" customWidth="1"/>
    <col min="15629" max="15639" width="9.140625" style="5" customWidth="1"/>
    <col min="15640" max="15872" width="9.140625" style="5"/>
    <col min="15873" max="15873" width="4.140625" style="5" customWidth="1"/>
    <col min="15874" max="15874" width="10.7109375" style="5" customWidth="1"/>
    <col min="15875" max="15875" width="70.7109375" style="5" customWidth="1"/>
    <col min="15876" max="15880" width="14.7109375" style="5" customWidth="1"/>
    <col min="15881" max="15881" width="10.5703125" style="5" customWidth="1"/>
    <col min="15882" max="15882" width="8.7109375" style="5" customWidth="1"/>
    <col min="15883" max="15884" width="14.42578125" style="5" customWidth="1"/>
    <col min="15885" max="15895" width="9.140625" style="5" customWidth="1"/>
    <col min="15896" max="16128" width="9.140625" style="5"/>
    <col min="16129" max="16129" width="4.140625" style="5" customWidth="1"/>
    <col min="16130" max="16130" width="10.7109375" style="5" customWidth="1"/>
    <col min="16131" max="16131" width="70.7109375" style="5" customWidth="1"/>
    <col min="16132" max="16136" width="14.7109375" style="5" customWidth="1"/>
    <col min="16137" max="16137" width="10.5703125" style="5" customWidth="1"/>
    <col min="16138" max="16138" width="8.7109375" style="5" customWidth="1"/>
    <col min="16139" max="16140" width="14.42578125" style="5" customWidth="1"/>
    <col min="16141" max="16151" width="9.140625" style="5" customWidth="1"/>
    <col min="16152" max="16384" width="9.140625" style="5"/>
  </cols>
  <sheetData>
    <row r="1" spans="1:23" ht="93" customHeight="1" x14ac:dyDescent="0.25">
      <c r="A1" s="2" t="s">
        <v>114</v>
      </c>
      <c r="B1" s="3" t="s">
        <v>115</v>
      </c>
      <c r="C1" s="481" t="s">
        <v>939</v>
      </c>
      <c r="D1" s="178" t="s">
        <v>997</v>
      </c>
      <c r="E1" s="178" t="s">
        <v>1111</v>
      </c>
      <c r="F1" s="482" t="s">
        <v>977</v>
      </c>
      <c r="G1" s="482" t="s">
        <v>979</v>
      </c>
      <c r="H1" s="482" t="s">
        <v>1111</v>
      </c>
      <c r="I1" s="64" t="s">
        <v>719</v>
      </c>
      <c r="J1" s="65" t="s">
        <v>719</v>
      </c>
      <c r="K1" s="151" t="s">
        <v>788</v>
      </c>
      <c r="L1" s="152" t="s">
        <v>789</v>
      </c>
      <c r="M1" s="152" t="s">
        <v>790</v>
      </c>
      <c r="N1" s="152" t="s">
        <v>791</v>
      </c>
      <c r="O1" s="153" t="s">
        <v>792</v>
      </c>
      <c r="P1" s="133"/>
      <c r="Q1" s="5"/>
      <c r="R1" s="5"/>
      <c r="S1" s="5"/>
      <c r="T1" s="5"/>
      <c r="U1" s="5"/>
      <c r="V1" s="5"/>
      <c r="W1" s="5"/>
    </row>
    <row r="2" spans="1:23" s="9" customFormat="1" x14ac:dyDescent="0.25">
      <c r="A2" s="66"/>
      <c r="B2" s="3"/>
      <c r="C2" s="481"/>
      <c r="D2" s="204"/>
      <c r="E2" s="204"/>
      <c r="F2" s="481"/>
      <c r="G2" s="481"/>
      <c r="H2" s="481"/>
      <c r="I2" s="64"/>
      <c r="J2" s="65"/>
      <c r="K2" s="154"/>
      <c r="L2" s="139"/>
      <c r="M2" s="139"/>
      <c r="N2" s="154"/>
      <c r="O2" s="19"/>
      <c r="P2" s="134"/>
    </row>
    <row r="3" spans="1:23" s="9" customFormat="1" x14ac:dyDescent="0.25">
      <c r="A3" s="211"/>
      <c r="B3" s="212" t="s">
        <v>914</v>
      </c>
      <c r="C3" s="213">
        <f t="shared" ref="C3:H3" si="0">SUM(C4:C6)</f>
        <v>0</v>
      </c>
      <c r="D3" s="234">
        <f t="shared" ref="D3:E3" si="1">SUM(D4:D6)</f>
        <v>1442291.2999999998</v>
      </c>
      <c r="E3" s="234">
        <f t="shared" si="1"/>
        <v>3006489.63</v>
      </c>
      <c r="F3" s="213">
        <f t="shared" si="0"/>
        <v>2316500</v>
      </c>
      <c r="G3" s="213">
        <f t="shared" si="0"/>
        <v>1814600</v>
      </c>
      <c r="H3" s="213">
        <f t="shared" si="0"/>
        <v>3006489.63</v>
      </c>
      <c r="I3" s="64"/>
      <c r="J3" s="65"/>
      <c r="K3" s="154"/>
      <c r="L3" s="139"/>
      <c r="M3" s="139"/>
      <c r="N3" s="154"/>
      <c r="O3" s="19"/>
      <c r="P3" s="134"/>
    </row>
    <row r="4" spans="1:23" s="9" customFormat="1" x14ac:dyDescent="0.25">
      <c r="A4" s="214"/>
      <c r="B4" s="215" t="s">
        <v>915</v>
      </c>
      <c r="C4" s="216">
        <f t="shared" ref="C4" si="2">SUM(C7+C10+C11+C12)</f>
        <v>0</v>
      </c>
      <c r="D4" s="235">
        <f>SUM(D7+D10)</f>
        <v>1391152.0199999998</v>
      </c>
      <c r="E4" s="235">
        <f t="shared" ref="E4:H4" si="3">SUM(E7+E10)</f>
        <v>2908845.1999999997</v>
      </c>
      <c r="F4" s="216">
        <f t="shared" si="3"/>
        <v>2195000</v>
      </c>
      <c r="G4" s="216">
        <f t="shared" si="3"/>
        <v>1674300</v>
      </c>
      <c r="H4" s="216">
        <f t="shared" si="3"/>
        <v>2908845.1999999997</v>
      </c>
      <c r="I4" s="64"/>
      <c r="J4" s="65"/>
      <c r="K4" s="154"/>
      <c r="L4" s="139"/>
      <c r="M4" s="139"/>
      <c r="N4" s="154"/>
      <c r="O4" s="19"/>
      <c r="P4" s="134"/>
    </row>
    <row r="5" spans="1:23" s="9" customFormat="1" x14ac:dyDescent="0.25">
      <c r="A5" s="214"/>
      <c r="B5" s="215" t="s">
        <v>916</v>
      </c>
      <c r="C5" s="216">
        <f t="shared" ref="C5" si="4">SUM(C8+C13)</f>
        <v>0</v>
      </c>
      <c r="D5" s="235">
        <f>SUM(D8)</f>
        <v>45933.18</v>
      </c>
      <c r="E5" s="235">
        <f t="shared" ref="E5:H5" si="5">SUM(E8)</f>
        <v>86252.31</v>
      </c>
      <c r="F5" s="216">
        <f t="shared" si="5"/>
        <v>120000</v>
      </c>
      <c r="G5" s="216">
        <f t="shared" si="5"/>
        <v>130500</v>
      </c>
      <c r="H5" s="216">
        <f t="shared" si="5"/>
        <v>86252.31</v>
      </c>
      <c r="I5" s="64"/>
      <c r="J5" s="65"/>
      <c r="K5" s="154"/>
      <c r="L5" s="139"/>
      <c r="M5" s="139"/>
      <c r="N5" s="154"/>
      <c r="O5" s="19"/>
      <c r="P5" s="134"/>
    </row>
    <row r="6" spans="1:23" s="9" customFormat="1" x14ac:dyDescent="0.25">
      <c r="A6" s="214"/>
      <c r="B6" s="215" t="s">
        <v>917</v>
      </c>
      <c r="C6" s="216">
        <f t="shared" ref="C6:H6" si="6">SUM(C9)</f>
        <v>0</v>
      </c>
      <c r="D6" s="235">
        <f t="shared" ref="D6:E6" si="7">SUM(D9)</f>
        <v>5206.1000000000004</v>
      </c>
      <c r="E6" s="235">
        <f t="shared" si="7"/>
        <v>11392.119999999999</v>
      </c>
      <c r="F6" s="216">
        <f t="shared" si="6"/>
        <v>1500</v>
      </c>
      <c r="G6" s="216">
        <f t="shared" si="6"/>
        <v>9800</v>
      </c>
      <c r="H6" s="216">
        <f t="shared" si="6"/>
        <v>11392.119999999999</v>
      </c>
      <c r="I6" s="64"/>
      <c r="J6" s="65"/>
      <c r="K6" s="154"/>
      <c r="L6" s="139"/>
      <c r="M6" s="139"/>
      <c r="N6" s="154"/>
      <c r="O6" s="19"/>
      <c r="P6" s="134"/>
    </row>
    <row r="7" spans="1:23" s="9" customFormat="1" x14ac:dyDescent="0.25">
      <c r="A7" s="120">
        <v>6</v>
      </c>
      <c r="B7" s="120" t="s">
        <v>918</v>
      </c>
      <c r="C7" s="217">
        <f t="shared" ref="C7:H7" si="8">SUM(C16)</f>
        <v>0</v>
      </c>
      <c r="D7" s="205">
        <f t="shared" ref="D7:E7" si="9">SUM(D16)</f>
        <v>1387459.8299999998</v>
      </c>
      <c r="E7" s="205">
        <f t="shared" si="9"/>
        <v>2862407.9</v>
      </c>
      <c r="F7" s="217">
        <f t="shared" si="8"/>
        <v>2154500</v>
      </c>
      <c r="G7" s="217">
        <f t="shared" si="8"/>
        <v>1624300</v>
      </c>
      <c r="H7" s="217">
        <f t="shared" si="8"/>
        <v>2862407.9</v>
      </c>
      <c r="I7" s="64"/>
      <c r="J7" s="65"/>
      <c r="K7" s="154"/>
      <c r="L7" s="139"/>
      <c r="M7" s="139"/>
      <c r="N7" s="154"/>
      <c r="O7" s="19"/>
      <c r="P7" s="134"/>
    </row>
    <row r="8" spans="1:23" s="9" customFormat="1" x14ac:dyDescent="0.25">
      <c r="A8" s="120">
        <v>6</v>
      </c>
      <c r="B8" s="120" t="s">
        <v>919</v>
      </c>
      <c r="C8" s="217">
        <f t="shared" ref="C8:H8" si="10">SUM(C94)</f>
        <v>0</v>
      </c>
      <c r="D8" s="205">
        <f t="shared" ref="D8:E8" si="11">SUM(D94)</f>
        <v>45933.18</v>
      </c>
      <c r="E8" s="205">
        <f t="shared" si="11"/>
        <v>86252.31</v>
      </c>
      <c r="F8" s="217">
        <f t="shared" si="10"/>
        <v>120000</v>
      </c>
      <c r="G8" s="217">
        <f t="shared" si="10"/>
        <v>130500</v>
      </c>
      <c r="H8" s="217">
        <f t="shared" si="10"/>
        <v>86252.31</v>
      </c>
      <c r="I8" s="64"/>
      <c r="J8" s="65"/>
      <c r="K8" s="154"/>
      <c r="L8" s="139"/>
      <c r="M8" s="139"/>
      <c r="N8" s="154"/>
      <c r="O8" s="19"/>
      <c r="P8" s="134"/>
    </row>
    <row r="9" spans="1:23" s="9" customFormat="1" x14ac:dyDescent="0.25">
      <c r="A9" s="120">
        <v>6</v>
      </c>
      <c r="B9" s="120" t="s">
        <v>920</v>
      </c>
      <c r="C9" s="217">
        <f t="shared" ref="C9:H9" si="12">SUM(C115)</f>
        <v>0</v>
      </c>
      <c r="D9" s="205">
        <f t="shared" ref="D9:E9" si="13">SUM(D115)</f>
        <v>5206.1000000000004</v>
      </c>
      <c r="E9" s="205">
        <f t="shared" si="13"/>
        <v>11392.119999999999</v>
      </c>
      <c r="F9" s="217">
        <f t="shared" si="12"/>
        <v>1500</v>
      </c>
      <c r="G9" s="217">
        <f t="shared" si="12"/>
        <v>9800</v>
      </c>
      <c r="H9" s="217">
        <f t="shared" si="12"/>
        <v>11392.119999999999</v>
      </c>
      <c r="I9" s="64"/>
      <c r="J9" s="65"/>
      <c r="K9" s="154"/>
      <c r="L9" s="139"/>
      <c r="M9" s="139"/>
      <c r="N9" s="154"/>
      <c r="O9" s="19"/>
      <c r="P9" s="134"/>
    </row>
    <row r="10" spans="1:23" s="9" customFormat="1" x14ac:dyDescent="0.25">
      <c r="A10" s="218">
        <v>7</v>
      </c>
      <c r="B10" s="219" t="s">
        <v>117</v>
      </c>
      <c r="C10" s="217">
        <f t="shared" ref="C10:H10" si="14">SUM(C78)</f>
        <v>0</v>
      </c>
      <c r="D10" s="205">
        <f t="shared" ref="D10:E10" si="15">SUM(D78)</f>
        <v>3692.19</v>
      </c>
      <c r="E10" s="205">
        <f t="shared" si="15"/>
        <v>46437.3</v>
      </c>
      <c r="F10" s="217">
        <f t="shared" si="14"/>
        <v>40500</v>
      </c>
      <c r="G10" s="217">
        <f t="shared" si="14"/>
        <v>50000</v>
      </c>
      <c r="H10" s="217">
        <f t="shared" si="14"/>
        <v>46437.3</v>
      </c>
      <c r="I10" s="64"/>
      <c r="J10" s="65"/>
      <c r="K10" s="154"/>
      <c r="L10" s="139"/>
      <c r="M10" s="139"/>
      <c r="N10" s="154"/>
      <c r="O10" s="19"/>
      <c r="P10" s="134"/>
    </row>
    <row r="11" spans="1:23" s="9" customFormat="1" x14ac:dyDescent="0.25">
      <c r="A11" s="119">
        <v>8</v>
      </c>
      <c r="B11" s="120" t="s">
        <v>865</v>
      </c>
      <c r="C11" s="217">
        <f t="shared" ref="C11:H11" si="16">SUM(C84)</f>
        <v>0</v>
      </c>
      <c r="D11" s="205">
        <f t="shared" ref="D11:E11" si="17">SUM(D84)</f>
        <v>3373.35</v>
      </c>
      <c r="E11" s="205">
        <f t="shared" si="17"/>
        <v>8096.04</v>
      </c>
      <c r="F11" s="217">
        <f t="shared" si="16"/>
        <v>8000</v>
      </c>
      <c r="G11" s="217">
        <f t="shared" si="16"/>
        <v>8000</v>
      </c>
      <c r="H11" s="217">
        <f t="shared" si="16"/>
        <v>8096.04</v>
      </c>
      <c r="I11" s="64"/>
      <c r="J11" s="65"/>
      <c r="K11" s="154"/>
      <c r="L11" s="139"/>
      <c r="M11" s="139"/>
      <c r="N11" s="154"/>
      <c r="O11" s="19"/>
      <c r="P11" s="134"/>
    </row>
    <row r="12" spans="1:23" s="9" customFormat="1" x14ac:dyDescent="0.25">
      <c r="A12" s="218">
        <v>9</v>
      </c>
      <c r="B12" s="219" t="s">
        <v>921</v>
      </c>
      <c r="C12" s="217">
        <f t="shared" ref="C12:H12" si="18">SUM(C88)</f>
        <v>0</v>
      </c>
      <c r="D12" s="205">
        <f t="shared" ref="D12:E12" si="19">SUM(D88)</f>
        <v>66550.42</v>
      </c>
      <c r="E12" s="205">
        <f t="shared" si="19"/>
        <v>66550.42</v>
      </c>
      <c r="F12" s="217">
        <f t="shared" si="18"/>
        <v>14000</v>
      </c>
      <c r="G12" s="217">
        <f t="shared" si="18"/>
        <v>66800</v>
      </c>
      <c r="H12" s="217">
        <f t="shared" si="18"/>
        <v>66550.42</v>
      </c>
      <c r="I12" s="64"/>
      <c r="J12" s="65"/>
      <c r="K12" s="154"/>
      <c r="L12" s="139"/>
      <c r="M12" s="139"/>
      <c r="N12" s="154"/>
      <c r="O12" s="19"/>
      <c r="P12" s="134"/>
    </row>
    <row r="13" spans="1:23" s="9" customFormat="1" x14ac:dyDescent="0.25">
      <c r="A13" s="218">
        <v>9</v>
      </c>
      <c r="B13" s="219" t="s">
        <v>922</v>
      </c>
      <c r="C13" s="217">
        <f t="shared" ref="C13:H13" si="20">SUM(C110)</f>
        <v>0</v>
      </c>
      <c r="D13" s="205">
        <f t="shared" ref="D13:E13" si="21">SUM(D110)</f>
        <v>4567.1499999999996</v>
      </c>
      <c r="E13" s="205">
        <f t="shared" si="21"/>
        <v>7247.78</v>
      </c>
      <c r="F13" s="217">
        <f t="shared" si="20"/>
        <v>8000</v>
      </c>
      <c r="G13" s="217">
        <f t="shared" si="20"/>
        <v>4600</v>
      </c>
      <c r="H13" s="217">
        <f t="shared" si="20"/>
        <v>7247.78</v>
      </c>
      <c r="I13" s="64"/>
      <c r="J13" s="65"/>
      <c r="K13" s="154"/>
      <c r="L13" s="139"/>
      <c r="M13" s="139"/>
      <c r="N13" s="154"/>
      <c r="O13" s="19"/>
      <c r="P13" s="134"/>
    </row>
    <row r="14" spans="1:23" s="9" customFormat="1" x14ac:dyDescent="0.25">
      <c r="A14" s="218">
        <v>9</v>
      </c>
      <c r="B14" s="219" t="s">
        <v>998</v>
      </c>
      <c r="C14" s="217">
        <f>SUM(C131)</f>
        <v>0</v>
      </c>
      <c r="D14" s="205">
        <f t="shared" ref="D14:H14" si="22">SUM(D131)</f>
        <v>1383.73</v>
      </c>
      <c r="E14" s="205">
        <f t="shared" si="22"/>
        <v>1391.81</v>
      </c>
      <c r="F14" s="217">
        <f t="shared" si="22"/>
        <v>0</v>
      </c>
      <c r="G14" s="217">
        <f t="shared" si="22"/>
        <v>1400</v>
      </c>
      <c r="H14" s="217">
        <f t="shared" si="22"/>
        <v>1391.81</v>
      </c>
      <c r="I14" s="64"/>
      <c r="J14" s="65"/>
      <c r="K14" s="154"/>
      <c r="L14" s="139"/>
      <c r="M14" s="139"/>
      <c r="N14" s="154"/>
      <c r="O14" s="19"/>
      <c r="P14" s="134"/>
    </row>
    <row r="15" spans="1:23" s="9" customFormat="1" x14ac:dyDescent="0.25">
      <c r="A15" s="218"/>
      <c r="B15" s="219"/>
      <c r="C15" s="217"/>
      <c r="D15" s="205"/>
      <c r="E15" s="205"/>
      <c r="F15" s="217"/>
      <c r="G15" s="217"/>
      <c r="H15" s="217"/>
      <c r="I15" s="64"/>
      <c r="J15" s="65"/>
      <c r="K15" s="154"/>
      <c r="L15" s="139"/>
      <c r="M15" s="139"/>
      <c r="N15" s="154"/>
      <c r="O15" s="19"/>
      <c r="P15" s="134"/>
    </row>
    <row r="16" spans="1:23" s="9" customFormat="1" x14ac:dyDescent="0.25">
      <c r="A16" s="120">
        <v>6</v>
      </c>
      <c r="B16" s="219" t="s">
        <v>116</v>
      </c>
      <c r="C16" s="217">
        <f t="shared" ref="C16:H16" si="23">SUM(C17+C34+C45+C56+C69+C75)</f>
        <v>0</v>
      </c>
      <c r="D16" s="205">
        <f t="shared" ref="D16:E16" si="24">SUM(D17+D34+D45+D56+D69+D75)</f>
        <v>1387459.8299999998</v>
      </c>
      <c r="E16" s="205">
        <f t="shared" si="24"/>
        <v>2862407.9</v>
      </c>
      <c r="F16" s="217">
        <f t="shared" si="23"/>
        <v>2154500</v>
      </c>
      <c r="G16" s="217">
        <f t="shared" si="23"/>
        <v>1624300</v>
      </c>
      <c r="H16" s="217">
        <f t="shared" si="23"/>
        <v>2862407.9</v>
      </c>
      <c r="I16" s="64"/>
      <c r="J16" s="65"/>
      <c r="K16" s="154"/>
      <c r="L16" s="139"/>
      <c r="M16" s="139"/>
      <c r="N16" s="154"/>
      <c r="O16" s="19"/>
      <c r="P16" s="134"/>
    </row>
    <row r="17" spans="1:16" s="14" customFormat="1" ht="22.5" customHeight="1" x14ac:dyDescent="0.25">
      <c r="A17" s="6">
        <v>61</v>
      </c>
      <c r="B17" s="10" t="s">
        <v>118</v>
      </c>
      <c r="C17" s="483">
        <f t="shared" ref="C17:H17" si="25">SUM(C18+C26+C29+C32)</f>
        <v>0</v>
      </c>
      <c r="D17" s="182">
        <f>SUM(D18+D26+D29+D32)</f>
        <v>693567.63</v>
      </c>
      <c r="E17" s="182">
        <f t="shared" ref="E17" si="26">SUM(E18+E26+E29+E32)</f>
        <v>1433652.98</v>
      </c>
      <c r="F17" s="483">
        <f t="shared" si="25"/>
        <v>65000</v>
      </c>
      <c r="G17" s="483">
        <f>SUM(G18+G26+G29+G32)</f>
        <v>155000</v>
      </c>
      <c r="H17" s="483">
        <f t="shared" si="25"/>
        <v>1433652.98</v>
      </c>
      <c r="I17" s="8">
        <f t="shared" ref="I17:I36" si="27">SUM(F17/D17)*100</f>
        <v>9.3718329963005917</v>
      </c>
      <c r="J17" s="8">
        <f t="shared" ref="J17:J36" si="28">SUM(F17/E17)*100</f>
        <v>4.5338726251592627</v>
      </c>
      <c r="K17" s="154"/>
      <c r="L17" s="139"/>
      <c r="M17" s="139"/>
      <c r="N17" s="154"/>
      <c r="O17" s="19"/>
      <c r="P17" s="135"/>
    </row>
    <row r="18" spans="1:16" s="14" customFormat="1" x14ac:dyDescent="0.25">
      <c r="A18" s="11">
        <v>611</v>
      </c>
      <c r="B18" s="12" t="s">
        <v>118</v>
      </c>
      <c r="C18" s="484">
        <f t="shared" ref="C18:H18" si="29">SUM(C19:C25)</f>
        <v>0</v>
      </c>
      <c r="D18" s="186">
        <f>SUM(D19:D25)</f>
        <v>644325.15</v>
      </c>
      <c r="E18" s="186">
        <f t="shared" ref="E18" si="30">SUM(E19:E25)</f>
        <v>1302066.51</v>
      </c>
      <c r="F18" s="484">
        <f t="shared" si="29"/>
        <v>0</v>
      </c>
      <c r="G18" s="484">
        <f>SUM(G19:G25)</f>
        <v>0</v>
      </c>
      <c r="H18" s="484">
        <f t="shared" si="29"/>
        <v>1302066.51</v>
      </c>
      <c r="I18" s="13">
        <f t="shared" si="27"/>
        <v>0</v>
      </c>
      <c r="J18" s="13">
        <f t="shared" si="28"/>
        <v>0</v>
      </c>
      <c r="K18" s="154">
        <v>11</v>
      </c>
      <c r="L18" s="139">
        <v>11</v>
      </c>
      <c r="M18" s="139">
        <v>11</v>
      </c>
      <c r="N18" s="154">
        <v>11</v>
      </c>
      <c r="O18" s="19">
        <v>11</v>
      </c>
      <c r="P18" s="135">
        <f t="shared" ref="P18:P36" si="31">SUM((C18/9)*12)</f>
        <v>0</v>
      </c>
    </row>
    <row r="19" spans="1:16" s="14" customFormat="1" ht="15.75" customHeight="1" x14ac:dyDescent="0.25">
      <c r="A19" s="15">
        <v>6111</v>
      </c>
      <c r="B19" s="16" t="s">
        <v>119</v>
      </c>
      <c r="C19" s="242"/>
      <c r="D19" s="188">
        <v>568012.25</v>
      </c>
      <c r="E19" s="188">
        <v>1041103.93</v>
      </c>
      <c r="F19" s="242"/>
      <c r="G19" s="242"/>
      <c r="H19" s="242">
        <v>1041103.93</v>
      </c>
      <c r="I19" s="17">
        <f t="shared" si="27"/>
        <v>0</v>
      </c>
      <c r="J19" s="17">
        <f t="shared" si="28"/>
        <v>0</v>
      </c>
      <c r="K19" s="154"/>
      <c r="L19" s="139"/>
      <c r="M19" s="139"/>
      <c r="N19" s="154"/>
      <c r="O19" s="19"/>
      <c r="P19" s="135">
        <f t="shared" si="31"/>
        <v>0</v>
      </c>
    </row>
    <row r="20" spans="1:16" s="14" customFormat="1" x14ac:dyDescent="0.25">
      <c r="A20" s="15">
        <v>6112</v>
      </c>
      <c r="B20" s="16" t="s">
        <v>120</v>
      </c>
      <c r="C20" s="485"/>
      <c r="D20" s="188">
        <v>64497.79</v>
      </c>
      <c r="E20" s="188">
        <v>182096.23</v>
      </c>
      <c r="F20" s="242"/>
      <c r="G20" s="242"/>
      <c r="H20" s="242">
        <v>182096.23</v>
      </c>
      <c r="I20" s="17">
        <f t="shared" si="27"/>
        <v>0</v>
      </c>
      <c r="J20" s="17">
        <f t="shared" si="28"/>
        <v>0</v>
      </c>
      <c r="K20" s="154"/>
      <c r="L20" s="139"/>
      <c r="M20" s="139"/>
      <c r="N20" s="154"/>
      <c r="O20" s="19"/>
      <c r="P20" s="135">
        <f t="shared" si="31"/>
        <v>0</v>
      </c>
    </row>
    <row r="21" spans="1:16" s="14" customFormat="1" ht="31.5" x14ac:dyDescent="0.25">
      <c r="A21" s="15">
        <v>6113</v>
      </c>
      <c r="B21" s="16" t="s">
        <v>121</v>
      </c>
      <c r="C21" s="485"/>
      <c r="D21" s="188">
        <v>20938.439999999999</v>
      </c>
      <c r="E21" s="188">
        <v>40026.65</v>
      </c>
      <c r="F21" s="242"/>
      <c r="G21" s="242"/>
      <c r="H21" s="242">
        <v>40026.65</v>
      </c>
      <c r="I21" s="17">
        <f t="shared" si="27"/>
        <v>0</v>
      </c>
      <c r="J21" s="17">
        <f t="shared" si="28"/>
        <v>0</v>
      </c>
      <c r="K21" s="154"/>
      <c r="L21" s="139"/>
      <c r="M21" s="139"/>
      <c r="N21" s="154"/>
      <c r="O21" s="19"/>
      <c r="P21" s="135">
        <f t="shared" si="31"/>
        <v>0</v>
      </c>
    </row>
    <row r="22" spans="1:16" s="14" customFormat="1" x14ac:dyDescent="0.25">
      <c r="A22" s="15">
        <v>6114</v>
      </c>
      <c r="B22" s="16" t="s">
        <v>122</v>
      </c>
      <c r="C22" s="485"/>
      <c r="D22" s="188">
        <v>9163.01</v>
      </c>
      <c r="E22" s="188">
        <v>45097.18</v>
      </c>
      <c r="F22" s="242"/>
      <c r="G22" s="242"/>
      <c r="H22" s="242">
        <v>45097.18</v>
      </c>
      <c r="I22" s="17">
        <f t="shared" si="27"/>
        <v>0</v>
      </c>
      <c r="J22" s="17">
        <f t="shared" si="28"/>
        <v>0</v>
      </c>
      <c r="K22" s="154"/>
      <c r="L22" s="139"/>
      <c r="M22" s="139"/>
      <c r="N22" s="154"/>
      <c r="O22" s="19"/>
      <c r="P22" s="135">
        <f t="shared" si="31"/>
        <v>0</v>
      </c>
    </row>
    <row r="23" spans="1:16" s="19" customFormat="1" ht="18.75" customHeight="1" x14ac:dyDescent="0.25">
      <c r="A23" s="15">
        <v>6115</v>
      </c>
      <c r="B23" s="52" t="s">
        <v>123</v>
      </c>
      <c r="C23" s="486"/>
      <c r="D23" s="188"/>
      <c r="E23" s="188"/>
      <c r="F23" s="242"/>
      <c r="G23" s="242"/>
      <c r="H23" s="242"/>
      <c r="I23" s="17" t="e">
        <f t="shared" si="27"/>
        <v>#DIV/0!</v>
      </c>
      <c r="J23" s="17" t="e">
        <f t="shared" si="28"/>
        <v>#DIV/0!</v>
      </c>
      <c r="K23" s="154"/>
      <c r="L23" s="139"/>
      <c r="M23" s="139"/>
      <c r="N23" s="154"/>
      <c r="P23" s="135">
        <f t="shared" si="31"/>
        <v>0</v>
      </c>
    </row>
    <row r="24" spans="1:16" s="14" customFormat="1" x14ac:dyDescent="0.25">
      <c r="A24" s="15">
        <v>6116</v>
      </c>
      <c r="B24" s="52" t="s">
        <v>124</v>
      </c>
      <c r="C24" s="486"/>
      <c r="D24" s="188"/>
      <c r="E24" s="188"/>
      <c r="F24" s="242"/>
      <c r="G24" s="242"/>
      <c r="H24" s="242"/>
      <c r="I24" s="17" t="e">
        <f t="shared" si="27"/>
        <v>#DIV/0!</v>
      </c>
      <c r="J24" s="17" t="e">
        <f t="shared" si="28"/>
        <v>#DIV/0!</v>
      </c>
      <c r="K24" s="154"/>
      <c r="L24" s="139"/>
      <c r="M24" s="139"/>
      <c r="N24" s="154"/>
      <c r="O24" s="19"/>
      <c r="P24" s="135">
        <f t="shared" si="31"/>
        <v>0</v>
      </c>
    </row>
    <row r="25" spans="1:16" s="19" customFormat="1" ht="15.75" customHeight="1" x14ac:dyDescent="0.25">
      <c r="A25" s="15">
        <v>6117</v>
      </c>
      <c r="B25" s="52" t="s">
        <v>406</v>
      </c>
      <c r="C25" s="486"/>
      <c r="D25" s="188">
        <v>-18286.34</v>
      </c>
      <c r="E25" s="188">
        <v>-6257.48</v>
      </c>
      <c r="F25" s="242"/>
      <c r="G25" s="242"/>
      <c r="H25" s="242">
        <v>-6257.48</v>
      </c>
      <c r="I25" s="17">
        <f t="shared" si="27"/>
        <v>0</v>
      </c>
      <c r="J25" s="17">
        <f t="shared" si="28"/>
        <v>0</v>
      </c>
      <c r="K25" s="154"/>
      <c r="L25" s="139"/>
      <c r="M25" s="139"/>
      <c r="N25" s="154"/>
      <c r="P25" s="135">
        <f t="shared" si="31"/>
        <v>0</v>
      </c>
    </row>
    <row r="26" spans="1:16" s="19" customFormat="1" x14ac:dyDescent="0.25">
      <c r="A26" s="11">
        <v>613</v>
      </c>
      <c r="B26" s="12" t="s">
        <v>125</v>
      </c>
      <c r="C26" s="484">
        <f t="shared" ref="C26:H26" si="32">SUM(C27:C28)</f>
        <v>0</v>
      </c>
      <c r="D26" s="186">
        <f t="shared" ref="D26:E26" si="33">SUM(D27:D28)</f>
        <v>45409.599999999999</v>
      </c>
      <c r="E26" s="186">
        <f t="shared" si="33"/>
        <v>122407.21</v>
      </c>
      <c r="F26" s="484">
        <f t="shared" si="32"/>
        <v>53000</v>
      </c>
      <c r="G26" s="484">
        <f>SUM(G27:G28)</f>
        <v>143000</v>
      </c>
      <c r="H26" s="484">
        <f t="shared" si="32"/>
        <v>122407.21</v>
      </c>
      <c r="I26" s="13">
        <f t="shared" si="27"/>
        <v>116.71540819562382</v>
      </c>
      <c r="J26" s="13">
        <f t="shared" si="28"/>
        <v>43.298103110102744</v>
      </c>
      <c r="K26" s="154">
        <v>11</v>
      </c>
      <c r="L26" s="139">
        <v>11</v>
      </c>
      <c r="M26" s="139">
        <v>11</v>
      </c>
      <c r="N26" s="154">
        <v>11</v>
      </c>
      <c r="O26" s="19">
        <v>11</v>
      </c>
      <c r="P26" s="135">
        <f t="shared" si="31"/>
        <v>0</v>
      </c>
    </row>
    <row r="27" spans="1:16" s="14" customFormat="1" x14ac:dyDescent="0.25">
      <c r="A27" s="20">
        <v>6132</v>
      </c>
      <c r="B27" s="21" t="s">
        <v>407</v>
      </c>
      <c r="C27" s="487"/>
      <c r="D27" s="188"/>
      <c r="E27" s="188"/>
      <c r="F27" s="242"/>
      <c r="G27" s="242"/>
      <c r="H27" s="242"/>
      <c r="I27" s="18" t="e">
        <f t="shared" si="27"/>
        <v>#DIV/0!</v>
      </c>
      <c r="J27" s="18" t="e">
        <f t="shared" si="28"/>
        <v>#DIV/0!</v>
      </c>
      <c r="K27" s="154"/>
      <c r="L27" s="139"/>
      <c r="M27" s="139"/>
      <c r="N27" s="154"/>
      <c r="O27" s="19"/>
      <c r="P27" s="135">
        <f t="shared" si="31"/>
        <v>0</v>
      </c>
    </row>
    <row r="28" spans="1:16" s="19" customFormat="1" x14ac:dyDescent="0.25">
      <c r="A28" s="20">
        <v>6134</v>
      </c>
      <c r="B28" s="21" t="s">
        <v>408</v>
      </c>
      <c r="C28" s="487"/>
      <c r="D28" s="188">
        <v>45409.599999999999</v>
      </c>
      <c r="E28" s="188">
        <v>122407.21</v>
      </c>
      <c r="F28" s="242">
        <v>53000</v>
      </c>
      <c r="G28" s="242">
        <v>143000</v>
      </c>
      <c r="H28" s="242">
        <v>122407.21</v>
      </c>
      <c r="I28" s="18">
        <f t="shared" si="27"/>
        <v>116.71540819562382</v>
      </c>
      <c r="J28" s="18">
        <f t="shared" si="28"/>
        <v>43.298103110102744</v>
      </c>
      <c r="K28" s="154"/>
      <c r="L28" s="139"/>
      <c r="M28" s="139"/>
      <c r="N28" s="154"/>
      <c r="P28" s="135">
        <f t="shared" si="31"/>
        <v>0</v>
      </c>
    </row>
    <row r="29" spans="1:16" s="19" customFormat="1" x14ac:dyDescent="0.25">
      <c r="A29" s="11">
        <v>614</v>
      </c>
      <c r="B29" s="12" t="s">
        <v>126</v>
      </c>
      <c r="C29" s="484">
        <f t="shared" ref="C29:H29" si="34">SUM(C30:C31)</f>
        <v>0</v>
      </c>
      <c r="D29" s="186">
        <f t="shared" ref="D29:E29" si="35">SUM(D30:D31)</f>
        <v>3832.88</v>
      </c>
      <c r="E29" s="186">
        <f t="shared" si="35"/>
        <v>9179.26</v>
      </c>
      <c r="F29" s="484">
        <f t="shared" si="34"/>
        <v>11000</v>
      </c>
      <c r="G29" s="484">
        <f>SUM(G30:G31)</f>
        <v>11000</v>
      </c>
      <c r="H29" s="484">
        <f t="shared" si="34"/>
        <v>9179.26</v>
      </c>
      <c r="I29" s="13">
        <f t="shared" si="27"/>
        <v>286.99046148066208</v>
      </c>
      <c r="J29" s="13">
        <f t="shared" si="28"/>
        <v>119.83536799262686</v>
      </c>
      <c r="K29" s="154">
        <v>11</v>
      </c>
      <c r="L29" s="139">
        <v>11</v>
      </c>
      <c r="M29" s="139">
        <v>11</v>
      </c>
      <c r="N29" s="154">
        <v>11</v>
      </c>
      <c r="O29" s="19">
        <v>11</v>
      </c>
      <c r="P29" s="135">
        <f t="shared" si="31"/>
        <v>0</v>
      </c>
    </row>
    <row r="30" spans="1:16" s="14" customFormat="1" x14ac:dyDescent="0.25">
      <c r="A30" s="20">
        <v>6142</v>
      </c>
      <c r="B30" s="21" t="s">
        <v>409</v>
      </c>
      <c r="C30" s="487"/>
      <c r="D30" s="188">
        <v>3832.88</v>
      </c>
      <c r="E30" s="188">
        <v>9179.26</v>
      </c>
      <c r="F30" s="242">
        <v>11000</v>
      </c>
      <c r="G30" s="242">
        <v>11000</v>
      </c>
      <c r="H30" s="242">
        <v>9179.26</v>
      </c>
      <c r="I30" s="18">
        <f t="shared" si="27"/>
        <v>286.99046148066208</v>
      </c>
      <c r="J30" s="18">
        <f t="shared" si="28"/>
        <v>119.83536799262686</v>
      </c>
      <c r="K30" s="154"/>
      <c r="L30" s="139"/>
      <c r="M30" s="139"/>
      <c r="N30" s="154"/>
      <c r="O30" s="19"/>
      <c r="P30" s="135">
        <f t="shared" si="31"/>
        <v>0</v>
      </c>
    </row>
    <row r="31" spans="1:16" s="19" customFormat="1" x14ac:dyDescent="0.25">
      <c r="A31" s="20">
        <v>6145</v>
      </c>
      <c r="B31" s="21" t="s">
        <v>410</v>
      </c>
      <c r="C31" s="487"/>
      <c r="D31" s="188"/>
      <c r="E31" s="188"/>
      <c r="F31" s="242"/>
      <c r="G31" s="242"/>
      <c r="H31" s="242"/>
      <c r="I31" s="18" t="e">
        <f t="shared" si="27"/>
        <v>#DIV/0!</v>
      </c>
      <c r="J31" s="18" t="e">
        <f t="shared" si="28"/>
        <v>#DIV/0!</v>
      </c>
      <c r="K31" s="154"/>
      <c r="L31" s="139"/>
      <c r="M31" s="139"/>
      <c r="N31" s="154"/>
      <c r="P31" s="135">
        <f t="shared" si="31"/>
        <v>0</v>
      </c>
    </row>
    <row r="32" spans="1:16" s="9" customFormat="1" x14ac:dyDescent="0.25">
      <c r="A32" s="11">
        <v>616</v>
      </c>
      <c r="B32" s="12" t="s">
        <v>127</v>
      </c>
      <c r="C32" s="484">
        <f t="shared" ref="C32:H32" si="36">SUM(C33)</f>
        <v>0</v>
      </c>
      <c r="D32" s="186">
        <f t="shared" si="36"/>
        <v>0</v>
      </c>
      <c r="E32" s="186">
        <f t="shared" si="36"/>
        <v>0</v>
      </c>
      <c r="F32" s="484">
        <f t="shared" si="36"/>
        <v>1000</v>
      </c>
      <c r="G32" s="484">
        <f t="shared" si="36"/>
        <v>1000</v>
      </c>
      <c r="H32" s="484">
        <f t="shared" si="36"/>
        <v>0</v>
      </c>
      <c r="I32" s="13" t="e">
        <f t="shared" si="27"/>
        <v>#DIV/0!</v>
      </c>
      <c r="J32" s="13" t="e">
        <f t="shared" si="28"/>
        <v>#DIV/0!</v>
      </c>
      <c r="K32" s="154">
        <v>11</v>
      </c>
      <c r="L32" s="139">
        <v>11</v>
      </c>
      <c r="M32" s="139">
        <v>11</v>
      </c>
      <c r="N32" s="154">
        <v>11</v>
      </c>
      <c r="O32" s="19">
        <v>11</v>
      </c>
      <c r="P32" s="135">
        <f t="shared" si="31"/>
        <v>0</v>
      </c>
    </row>
    <row r="33" spans="1:16" s="14" customFormat="1" x14ac:dyDescent="0.25">
      <c r="A33" s="20">
        <v>6163</v>
      </c>
      <c r="B33" s="21" t="s">
        <v>411</v>
      </c>
      <c r="C33" s="487"/>
      <c r="D33" s="188"/>
      <c r="E33" s="188"/>
      <c r="F33" s="242">
        <v>1000</v>
      </c>
      <c r="G33" s="242">
        <v>1000</v>
      </c>
      <c r="H33" s="242"/>
      <c r="I33" s="18" t="e">
        <f t="shared" si="27"/>
        <v>#DIV/0!</v>
      </c>
      <c r="J33" s="18" t="e">
        <f t="shared" si="28"/>
        <v>#DIV/0!</v>
      </c>
      <c r="K33" s="154"/>
      <c r="L33" s="139"/>
      <c r="M33" s="139"/>
      <c r="N33" s="154"/>
      <c r="O33" s="19"/>
      <c r="P33" s="135">
        <f t="shared" si="31"/>
        <v>0</v>
      </c>
    </row>
    <row r="34" spans="1:16" s="19" customFormat="1" ht="17.25" customHeight="1" x14ac:dyDescent="0.25">
      <c r="A34" s="6">
        <v>63</v>
      </c>
      <c r="B34" s="10" t="s">
        <v>128</v>
      </c>
      <c r="C34" s="483">
        <f t="shared" ref="C34:H34" si="37">SUM(C35+C40)</f>
        <v>0</v>
      </c>
      <c r="D34" s="182">
        <f>SUM(D35+D40)</f>
        <v>613448.95999999996</v>
      </c>
      <c r="E34" s="182">
        <f t="shared" ref="E34" si="38">SUM(E35+E40)</f>
        <v>1287615.18</v>
      </c>
      <c r="F34" s="483">
        <f t="shared" si="37"/>
        <v>1929000</v>
      </c>
      <c r="G34" s="483">
        <f>SUM(G35+G40)</f>
        <v>1339000</v>
      </c>
      <c r="H34" s="483">
        <f t="shared" si="37"/>
        <v>1287615.18</v>
      </c>
      <c r="I34" s="8">
        <f t="shared" si="27"/>
        <v>314.45158860486129</v>
      </c>
      <c r="J34" s="8">
        <f t="shared" si="28"/>
        <v>149.81184052210384</v>
      </c>
      <c r="K34" s="154">
        <v>41</v>
      </c>
      <c r="L34" s="139">
        <v>41</v>
      </c>
      <c r="M34" s="139">
        <v>41</v>
      </c>
      <c r="N34" s="154">
        <v>41</v>
      </c>
      <c r="O34" s="19">
        <v>41</v>
      </c>
      <c r="P34" s="135">
        <f t="shared" si="31"/>
        <v>0</v>
      </c>
    </row>
    <row r="35" spans="1:16" s="19" customFormat="1" ht="17.25" customHeight="1" x14ac:dyDescent="0.25">
      <c r="A35" s="22">
        <v>633</v>
      </c>
      <c r="B35" s="23" t="s">
        <v>129</v>
      </c>
      <c r="C35" s="488">
        <f t="shared" ref="C35:H35" si="39">SUM(C36:C39)</f>
        <v>0</v>
      </c>
      <c r="D35" s="206">
        <f>SUM(D36:D39)</f>
        <v>495419.9</v>
      </c>
      <c r="E35" s="206">
        <f t="shared" ref="E35" si="40">SUM(E36:E39)</f>
        <v>1102994.72</v>
      </c>
      <c r="F35" s="488">
        <f t="shared" si="39"/>
        <v>1579000</v>
      </c>
      <c r="G35" s="488">
        <f>SUM(G36:G39)</f>
        <v>1089000</v>
      </c>
      <c r="H35" s="488">
        <f t="shared" si="39"/>
        <v>1102994.72</v>
      </c>
      <c r="I35" s="13">
        <f t="shared" si="27"/>
        <v>318.71953468159029</v>
      </c>
      <c r="J35" s="13">
        <f t="shared" si="28"/>
        <v>143.15571701014127</v>
      </c>
      <c r="K35" s="154"/>
      <c r="L35" s="139"/>
      <c r="M35" s="139"/>
      <c r="N35" s="154"/>
      <c r="P35" s="135">
        <f t="shared" si="31"/>
        <v>0</v>
      </c>
    </row>
    <row r="36" spans="1:16" s="19" customFormat="1" ht="18.75" customHeight="1" x14ac:dyDescent="0.25">
      <c r="A36" s="53">
        <v>6331</v>
      </c>
      <c r="B36" s="156" t="s">
        <v>412</v>
      </c>
      <c r="C36" s="489"/>
      <c r="D36" s="188">
        <v>421331.9</v>
      </c>
      <c r="E36" s="188">
        <v>940878.98</v>
      </c>
      <c r="F36" s="242">
        <v>279000</v>
      </c>
      <c r="G36" s="242">
        <v>979000</v>
      </c>
      <c r="H36" s="242">
        <v>940878.98</v>
      </c>
      <c r="I36" s="18">
        <f t="shared" si="27"/>
        <v>66.218579699282202</v>
      </c>
      <c r="J36" s="18">
        <f t="shared" si="28"/>
        <v>29.65312287027605</v>
      </c>
      <c r="K36" s="154"/>
      <c r="L36" s="139"/>
      <c r="M36" s="139"/>
      <c r="N36" s="154"/>
      <c r="P36" s="135">
        <f t="shared" si="31"/>
        <v>0</v>
      </c>
    </row>
    <row r="37" spans="1:16" s="14" customFormat="1" ht="26.25" customHeight="1" x14ac:dyDescent="0.25">
      <c r="A37" s="53">
        <v>6331</v>
      </c>
      <c r="B37" s="156" t="s">
        <v>720</v>
      </c>
      <c r="C37" s="489"/>
      <c r="D37" s="188"/>
      <c r="E37" s="188">
        <v>320</v>
      </c>
      <c r="F37" s="242"/>
      <c r="G37" s="242"/>
      <c r="H37" s="242">
        <v>320</v>
      </c>
      <c r="I37" s="18"/>
      <c r="J37" s="18"/>
      <c r="K37" s="154"/>
      <c r="L37" s="139"/>
      <c r="M37" s="139"/>
      <c r="N37" s="154"/>
      <c r="O37" s="19"/>
      <c r="P37" s="135">
        <f t="shared" ref="P37:P52" si="41">SUM((C37/9)*12)</f>
        <v>0</v>
      </c>
    </row>
    <row r="38" spans="1:16" s="19" customFormat="1" x14ac:dyDescent="0.25">
      <c r="A38" s="53"/>
      <c r="B38" s="156" t="s">
        <v>721</v>
      </c>
      <c r="C38" s="489"/>
      <c r="D38" s="188">
        <v>74088</v>
      </c>
      <c r="E38" s="188">
        <v>161795.74</v>
      </c>
      <c r="F38" s="242">
        <v>1300000</v>
      </c>
      <c r="G38" s="242">
        <v>110000</v>
      </c>
      <c r="H38" s="242">
        <v>161795.74</v>
      </c>
      <c r="I38" s="18"/>
      <c r="J38" s="18"/>
      <c r="K38" s="154"/>
      <c r="L38" s="139"/>
      <c r="M38" s="139"/>
      <c r="N38" s="154"/>
      <c r="P38" s="135">
        <f t="shared" si="41"/>
        <v>0</v>
      </c>
    </row>
    <row r="39" spans="1:16" s="19" customFormat="1" x14ac:dyDescent="0.25">
      <c r="A39" s="53">
        <v>6333</v>
      </c>
      <c r="B39" s="156" t="s">
        <v>413</v>
      </c>
      <c r="C39" s="489"/>
      <c r="D39" s="188"/>
      <c r="E39" s="188"/>
      <c r="F39" s="242"/>
      <c r="G39" s="242"/>
      <c r="H39" s="242"/>
      <c r="I39" s="18" t="e">
        <f>SUM(F39/D39)*100</f>
        <v>#DIV/0!</v>
      </c>
      <c r="J39" s="18" t="e">
        <f>SUM(F39/E39)*100</f>
        <v>#DIV/0!</v>
      </c>
      <c r="K39" s="154"/>
      <c r="L39" s="139"/>
      <c r="M39" s="139"/>
      <c r="N39" s="154"/>
      <c r="P39" s="135">
        <f t="shared" si="41"/>
        <v>0</v>
      </c>
    </row>
    <row r="40" spans="1:16" s="9" customFormat="1" ht="31.5" x14ac:dyDescent="0.25">
      <c r="A40" s="11">
        <v>634</v>
      </c>
      <c r="B40" s="12" t="s">
        <v>130</v>
      </c>
      <c r="C40" s="484">
        <f t="shared" ref="C40:H40" si="42">SUM(C41:C44)</f>
        <v>0</v>
      </c>
      <c r="D40" s="186">
        <f t="shared" ref="D40:E40" si="43">SUM(D41:D44)</f>
        <v>118029.06</v>
      </c>
      <c r="E40" s="186">
        <f t="shared" si="43"/>
        <v>184620.46</v>
      </c>
      <c r="F40" s="484">
        <f t="shared" si="42"/>
        <v>350000</v>
      </c>
      <c r="G40" s="484">
        <f>SUM(G41:G44)</f>
        <v>250000</v>
      </c>
      <c r="H40" s="484">
        <f t="shared" si="42"/>
        <v>184620.46</v>
      </c>
      <c r="I40" s="13">
        <f>SUM(F40/D40)*100</f>
        <v>296.53714093800289</v>
      </c>
      <c r="J40" s="13">
        <f>SUM(F40/E40)*100</f>
        <v>189.57812151480937</v>
      </c>
      <c r="K40" s="154"/>
      <c r="L40" s="139"/>
      <c r="M40" s="139"/>
      <c r="N40" s="154"/>
      <c r="O40" s="19"/>
      <c r="P40" s="135">
        <f t="shared" si="41"/>
        <v>0</v>
      </c>
    </row>
    <row r="41" spans="1:16" s="14" customFormat="1" x14ac:dyDescent="0.25">
      <c r="A41" s="20">
        <v>6341</v>
      </c>
      <c r="B41" s="21" t="s">
        <v>414</v>
      </c>
      <c r="C41" s="487"/>
      <c r="D41" s="188">
        <v>118029.06</v>
      </c>
      <c r="E41" s="188">
        <v>118029.06</v>
      </c>
      <c r="F41" s="242">
        <v>350000</v>
      </c>
      <c r="G41" s="242">
        <v>150000</v>
      </c>
      <c r="H41" s="242">
        <v>118029.06</v>
      </c>
      <c r="I41" s="18">
        <f>SUM(F41/D41)*100</f>
        <v>296.53714093800289</v>
      </c>
      <c r="J41" s="18">
        <f>SUM(F41/E41)*100</f>
        <v>296.53714093800289</v>
      </c>
      <c r="K41" s="154"/>
      <c r="L41" s="139"/>
      <c r="M41" s="139"/>
      <c r="N41" s="154"/>
      <c r="O41" s="19"/>
      <c r="P41" s="135">
        <f t="shared" si="41"/>
        <v>0</v>
      </c>
    </row>
    <row r="42" spans="1:16" s="19" customFormat="1" x14ac:dyDescent="0.25">
      <c r="A42" s="20"/>
      <c r="B42" s="21" t="s">
        <v>722</v>
      </c>
      <c r="C42" s="487"/>
      <c r="D42" s="188"/>
      <c r="E42" s="188"/>
      <c r="F42" s="242"/>
      <c r="G42" s="242"/>
      <c r="H42" s="242"/>
      <c r="I42" s="18"/>
      <c r="J42" s="18"/>
      <c r="K42" s="154"/>
      <c r="L42" s="139"/>
      <c r="M42" s="139"/>
      <c r="N42" s="154"/>
      <c r="P42" s="135">
        <f t="shared" si="41"/>
        <v>0</v>
      </c>
    </row>
    <row r="43" spans="1:16" s="19" customFormat="1" x14ac:dyDescent="0.25">
      <c r="A43" s="20"/>
      <c r="B43" s="21" t="s">
        <v>723</v>
      </c>
      <c r="C43" s="487"/>
      <c r="D43" s="188"/>
      <c r="E43" s="188">
        <v>14911.4</v>
      </c>
      <c r="F43" s="242"/>
      <c r="G43" s="242"/>
      <c r="H43" s="242">
        <v>14911.4</v>
      </c>
      <c r="I43" s="18"/>
      <c r="J43" s="18"/>
      <c r="K43" s="154"/>
      <c r="L43" s="139"/>
      <c r="M43" s="139"/>
      <c r="N43" s="154"/>
      <c r="P43" s="135">
        <f t="shared" si="41"/>
        <v>0</v>
      </c>
    </row>
    <row r="44" spans="1:16" s="14" customFormat="1" x14ac:dyDescent="0.25">
      <c r="A44" s="20">
        <v>6342</v>
      </c>
      <c r="B44" s="21" t="s">
        <v>415</v>
      </c>
      <c r="C44" s="487"/>
      <c r="D44" s="188"/>
      <c r="E44" s="188">
        <v>51680</v>
      </c>
      <c r="F44" s="242"/>
      <c r="G44" s="242">
        <v>100000</v>
      </c>
      <c r="H44" s="242">
        <v>51680</v>
      </c>
      <c r="I44" s="18" t="e">
        <f>SUM(F44/D44)*100</f>
        <v>#DIV/0!</v>
      </c>
      <c r="J44" s="18">
        <f>SUM(F44/E44)*100</f>
        <v>0</v>
      </c>
      <c r="K44" s="154"/>
      <c r="L44" s="139"/>
      <c r="M44" s="139"/>
      <c r="N44" s="154"/>
      <c r="O44" s="19"/>
      <c r="P44" s="135">
        <f t="shared" si="41"/>
        <v>0</v>
      </c>
    </row>
    <row r="45" spans="1:16" s="19" customFormat="1" x14ac:dyDescent="0.25">
      <c r="A45" s="6">
        <v>64</v>
      </c>
      <c r="B45" s="10" t="s">
        <v>131</v>
      </c>
      <c r="C45" s="483">
        <f t="shared" ref="C45:H45" si="44">SUM(C46+C49)</f>
        <v>0</v>
      </c>
      <c r="D45" s="182">
        <f>SUM(D46+D49)</f>
        <v>45444.7</v>
      </c>
      <c r="E45" s="182">
        <f t="shared" ref="E45" si="45">SUM(E46+E49)</f>
        <v>84598.53</v>
      </c>
      <c r="F45" s="483">
        <f t="shared" si="44"/>
        <v>72500</v>
      </c>
      <c r="G45" s="483">
        <f>SUM(G46+G49)</f>
        <v>52000</v>
      </c>
      <c r="H45" s="483">
        <f t="shared" si="44"/>
        <v>84598.53</v>
      </c>
      <c r="I45" s="8">
        <f>SUM(F45/D45)*100</f>
        <v>159.53455518465302</v>
      </c>
      <c r="J45" s="8">
        <f>SUM(F45/E45)*100</f>
        <v>85.698888621350761</v>
      </c>
      <c r="K45" s="154"/>
      <c r="L45" s="139"/>
      <c r="M45" s="139"/>
      <c r="N45" s="154"/>
      <c r="P45" s="135">
        <f t="shared" si="41"/>
        <v>0</v>
      </c>
    </row>
    <row r="46" spans="1:16" s="19" customFormat="1" x14ac:dyDescent="0.25">
      <c r="A46" s="11">
        <v>641</v>
      </c>
      <c r="B46" s="12" t="s">
        <v>132</v>
      </c>
      <c r="C46" s="484">
        <f t="shared" ref="C46:H46" si="46">SUM(C47:C48)</f>
        <v>0</v>
      </c>
      <c r="D46" s="186">
        <f>SUM(D47:D48)</f>
        <v>0.14000000000000001</v>
      </c>
      <c r="E46" s="186">
        <f t="shared" ref="E46" si="47">SUM(E47:E48)</f>
        <v>0.4</v>
      </c>
      <c r="F46" s="484">
        <f t="shared" si="46"/>
        <v>500</v>
      </c>
      <c r="G46" s="484">
        <f>SUM(G47:G48)</f>
        <v>100</v>
      </c>
      <c r="H46" s="484">
        <f t="shared" si="46"/>
        <v>0.4</v>
      </c>
      <c r="I46" s="13">
        <f>SUM(F46/D46)*100</f>
        <v>357142.8571428571</v>
      </c>
      <c r="J46" s="13">
        <f>SUM(F46/E46)*100</f>
        <v>125000</v>
      </c>
      <c r="K46" s="154">
        <v>21</v>
      </c>
      <c r="L46" s="139">
        <v>21</v>
      </c>
      <c r="M46" s="139">
        <v>21</v>
      </c>
      <c r="N46" s="154">
        <v>21</v>
      </c>
      <c r="O46" s="19">
        <v>21</v>
      </c>
      <c r="P46" s="135">
        <f t="shared" si="41"/>
        <v>0</v>
      </c>
    </row>
    <row r="47" spans="1:16" s="19" customFormat="1" x14ac:dyDescent="0.25">
      <c r="A47" s="20">
        <v>6413</v>
      </c>
      <c r="B47" s="21" t="s">
        <v>416</v>
      </c>
      <c r="C47" s="487"/>
      <c r="D47" s="188">
        <v>0.14000000000000001</v>
      </c>
      <c r="E47" s="188">
        <v>0.4</v>
      </c>
      <c r="F47" s="242">
        <v>500</v>
      </c>
      <c r="G47" s="242">
        <v>100</v>
      </c>
      <c r="H47" s="242">
        <v>0.4</v>
      </c>
      <c r="I47" s="18">
        <f>SUM(F47/D47)*100</f>
        <v>357142.8571428571</v>
      </c>
      <c r="J47" s="18">
        <f>SUM(F47/E47)*100</f>
        <v>125000</v>
      </c>
      <c r="K47" s="154"/>
      <c r="L47" s="139"/>
      <c r="M47" s="139"/>
      <c r="N47" s="154"/>
      <c r="P47" s="135">
        <f t="shared" si="41"/>
        <v>0</v>
      </c>
    </row>
    <row r="48" spans="1:16" s="19" customFormat="1" x14ac:dyDescent="0.25">
      <c r="A48" s="15">
        <v>6413</v>
      </c>
      <c r="B48" s="21" t="s">
        <v>450</v>
      </c>
      <c r="C48" s="487"/>
      <c r="D48" s="188"/>
      <c r="E48" s="188"/>
      <c r="F48" s="242"/>
      <c r="G48" s="242"/>
      <c r="H48" s="242"/>
      <c r="I48" s="18"/>
      <c r="J48" s="18"/>
      <c r="K48" s="154"/>
      <c r="L48" s="139"/>
      <c r="M48" s="139"/>
      <c r="N48" s="154"/>
      <c r="P48" s="135">
        <f t="shared" si="41"/>
        <v>0</v>
      </c>
    </row>
    <row r="49" spans="1:16" s="9" customFormat="1" ht="36" customHeight="1" x14ac:dyDescent="0.25">
      <c r="A49" s="11">
        <v>642</v>
      </c>
      <c r="B49" s="12" t="s">
        <v>133</v>
      </c>
      <c r="C49" s="484">
        <f t="shared" ref="C49:H49" si="48">SUM(C50:C55)</f>
        <v>0</v>
      </c>
      <c r="D49" s="186">
        <f t="shared" ref="D49:E49" si="49">SUM(D50:D55)</f>
        <v>45444.56</v>
      </c>
      <c r="E49" s="186">
        <f t="shared" si="49"/>
        <v>84598.13</v>
      </c>
      <c r="F49" s="484">
        <f t="shared" si="48"/>
        <v>72000</v>
      </c>
      <c r="G49" s="484">
        <f>SUM(G50:G55)</f>
        <v>51900</v>
      </c>
      <c r="H49" s="484">
        <f t="shared" si="48"/>
        <v>84598.13</v>
      </c>
      <c r="I49" s="13">
        <f>SUM(F49/D49)*100</f>
        <v>158.43480495795316</v>
      </c>
      <c r="J49" s="13">
        <f>SUM(F49/E49)*100</f>
        <v>85.108264213405178</v>
      </c>
      <c r="K49" s="154"/>
      <c r="L49" s="139"/>
      <c r="M49" s="139"/>
      <c r="N49" s="154"/>
      <c r="O49" s="19"/>
      <c r="P49" s="135">
        <f t="shared" si="41"/>
        <v>0</v>
      </c>
    </row>
    <row r="50" spans="1:16" s="14" customFormat="1" x14ac:dyDescent="0.25">
      <c r="A50" s="20">
        <v>6421</v>
      </c>
      <c r="B50" s="21" t="s">
        <v>417</v>
      </c>
      <c r="C50" s="487"/>
      <c r="D50" s="188">
        <v>7565.2</v>
      </c>
      <c r="E50" s="188">
        <v>17924.990000000002</v>
      </c>
      <c r="F50" s="242">
        <v>72000</v>
      </c>
      <c r="G50" s="242">
        <v>15000</v>
      </c>
      <c r="H50" s="242">
        <v>17924.990000000002</v>
      </c>
      <c r="I50" s="18">
        <f>SUM(F50/D50)*100</f>
        <v>951.72632580764559</v>
      </c>
      <c r="J50" s="18">
        <f>SUM(F50/E50)*100</f>
        <v>401.67386425320177</v>
      </c>
      <c r="K50" s="154">
        <v>31</v>
      </c>
      <c r="L50" s="139">
        <v>31</v>
      </c>
      <c r="M50" s="139">
        <v>31</v>
      </c>
      <c r="N50" s="154">
        <v>31</v>
      </c>
      <c r="O50" s="19">
        <v>31</v>
      </c>
      <c r="P50" s="135">
        <f t="shared" si="41"/>
        <v>0</v>
      </c>
    </row>
    <row r="51" spans="1:16" s="19" customFormat="1" x14ac:dyDescent="0.25">
      <c r="A51" s="15">
        <v>6422</v>
      </c>
      <c r="B51" s="16" t="s">
        <v>418</v>
      </c>
      <c r="C51" s="485"/>
      <c r="D51" s="188">
        <v>37877.279999999999</v>
      </c>
      <c r="E51" s="188">
        <v>65696.7</v>
      </c>
      <c r="F51" s="242"/>
      <c r="G51" s="242">
        <v>35800</v>
      </c>
      <c r="H51" s="242">
        <v>65696.7</v>
      </c>
      <c r="I51" s="17">
        <f>SUM(F51/D51)*100</f>
        <v>0</v>
      </c>
      <c r="J51" s="17">
        <f>SUM(F51/E51)*100</f>
        <v>0</v>
      </c>
      <c r="K51" s="154">
        <v>31</v>
      </c>
      <c r="L51" s="139">
        <v>31</v>
      </c>
      <c r="M51" s="139">
        <v>31</v>
      </c>
      <c r="N51" s="154">
        <v>31</v>
      </c>
      <c r="O51" s="19">
        <v>31</v>
      </c>
      <c r="P51" s="135">
        <f t="shared" si="41"/>
        <v>0</v>
      </c>
    </row>
    <row r="52" spans="1:16" s="19" customFormat="1" x14ac:dyDescent="0.25">
      <c r="A52" s="15">
        <v>6423</v>
      </c>
      <c r="B52" s="16" t="s">
        <v>419</v>
      </c>
      <c r="C52" s="485"/>
      <c r="D52" s="188">
        <v>2.08</v>
      </c>
      <c r="E52" s="188">
        <v>4.91</v>
      </c>
      <c r="F52" s="242"/>
      <c r="G52" s="242">
        <v>100</v>
      </c>
      <c r="H52" s="242">
        <v>4.91</v>
      </c>
      <c r="I52" s="17">
        <f>SUM(F52/D52)*100</f>
        <v>0</v>
      </c>
      <c r="J52" s="17">
        <f>SUM(F52/E52)*100</f>
        <v>0</v>
      </c>
      <c r="K52" s="154">
        <v>31</v>
      </c>
      <c r="L52" s="139">
        <v>31</v>
      </c>
      <c r="M52" s="139">
        <v>31</v>
      </c>
      <c r="N52" s="154">
        <v>31</v>
      </c>
      <c r="O52" s="19">
        <v>31</v>
      </c>
      <c r="P52" s="135">
        <f t="shared" si="41"/>
        <v>0</v>
      </c>
    </row>
    <row r="53" spans="1:16" s="19" customFormat="1" x14ac:dyDescent="0.25">
      <c r="A53" s="15">
        <v>6429</v>
      </c>
      <c r="B53" s="16" t="s">
        <v>875</v>
      </c>
      <c r="C53" s="485"/>
      <c r="D53" s="188"/>
      <c r="E53" s="188"/>
      <c r="F53" s="242"/>
      <c r="G53" s="242"/>
      <c r="H53" s="242"/>
      <c r="I53" s="17"/>
      <c r="J53" s="17"/>
      <c r="K53" s="154">
        <v>21</v>
      </c>
      <c r="L53" s="139">
        <v>21</v>
      </c>
      <c r="M53" s="139">
        <v>21</v>
      </c>
      <c r="N53" s="154">
        <v>21</v>
      </c>
      <c r="O53" s="19">
        <v>21</v>
      </c>
      <c r="P53" s="135"/>
    </row>
    <row r="54" spans="1:16" s="19" customFormat="1" x14ac:dyDescent="0.25">
      <c r="A54" s="15">
        <v>64341</v>
      </c>
      <c r="B54" s="16" t="s">
        <v>891</v>
      </c>
      <c r="C54" s="485"/>
      <c r="D54" s="188"/>
      <c r="E54" s="188">
        <v>971.53</v>
      </c>
      <c r="F54" s="242"/>
      <c r="G54" s="242">
        <v>1000</v>
      </c>
      <c r="H54" s="242">
        <v>971.53</v>
      </c>
      <c r="I54" s="17"/>
      <c r="J54" s="17"/>
      <c r="K54" s="154">
        <v>21</v>
      </c>
      <c r="L54" s="139">
        <v>21</v>
      </c>
      <c r="M54" s="139">
        <v>21</v>
      </c>
      <c r="N54" s="154">
        <v>21</v>
      </c>
      <c r="O54" s="19">
        <v>21</v>
      </c>
      <c r="P54" s="135"/>
    </row>
    <row r="55" spans="1:16" s="14" customFormat="1" x14ac:dyDescent="0.25">
      <c r="A55" s="15">
        <v>9222</v>
      </c>
      <c r="B55" s="16" t="s">
        <v>134</v>
      </c>
      <c r="C55" s="485"/>
      <c r="D55" s="188"/>
      <c r="E55" s="188"/>
      <c r="F55" s="242"/>
      <c r="G55" s="242"/>
      <c r="H55" s="242"/>
      <c r="I55" s="18" t="e">
        <f t="shared" ref="I55:I60" si="50">SUM(F55/D55)*100</f>
        <v>#DIV/0!</v>
      </c>
      <c r="J55" s="18" t="e">
        <f t="shared" ref="J55:J60" si="51">SUM(F55/E55)*100</f>
        <v>#DIV/0!</v>
      </c>
      <c r="K55" s="154">
        <v>31</v>
      </c>
      <c r="L55" s="139">
        <v>31</v>
      </c>
      <c r="M55" s="139">
        <v>31</v>
      </c>
      <c r="N55" s="154">
        <v>31</v>
      </c>
      <c r="O55" s="19">
        <v>31</v>
      </c>
      <c r="P55" s="135">
        <f t="shared" ref="P55:P70" si="52">SUM((C55/9)*12)</f>
        <v>0</v>
      </c>
    </row>
    <row r="56" spans="1:16" s="19" customFormat="1" ht="31.5" x14ac:dyDescent="0.25">
      <c r="A56" s="6">
        <v>65</v>
      </c>
      <c r="B56" s="10" t="s">
        <v>135</v>
      </c>
      <c r="C56" s="483">
        <f t="shared" ref="C56:H56" si="53">SUM(C57+C60+C65)</f>
        <v>0</v>
      </c>
      <c r="D56" s="182">
        <f>SUM(D57+D60+D65)</f>
        <v>19374.219999999998</v>
      </c>
      <c r="E56" s="182">
        <f t="shared" ref="E56" si="54">SUM(E57+E60+E65)</f>
        <v>39770.550000000003</v>
      </c>
      <c r="F56" s="483">
        <f t="shared" si="53"/>
        <v>70000</v>
      </c>
      <c r="G56" s="483">
        <f>SUM(G57+G60+G65)</f>
        <v>43300</v>
      </c>
      <c r="H56" s="483">
        <f t="shared" si="53"/>
        <v>39770.550000000003</v>
      </c>
      <c r="I56" s="8">
        <f t="shared" si="50"/>
        <v>361.30486801533175</v>
      </c>
      <c r="J56" s="8">
        <f t="shared" si="51"/>
        <v>176.00963527031936</v>
      </c>
      <c r="K56" s="154"/>
      <c r="L56" s="139"/>
      <c r="M56" s="139"/>
      <c r="N56" s="154"/>
      <c r="P56" s="135">
        <f t="shared" si="52"/>
        <v>0</v>
      </c>
    </row>
    <row r="57" spans="1:16" s="19" customFormat="1" x14ac:dyDescent="0.25">
      <c r="A57" s="11">
        <v>651</v>
      </c>
      <c r="B57" s="12" t="s">
        <v>136</v>
      </c>
      <c r="C57" s="484">
        <f t="shared" ref="C57:H57" si="55">SUM(C58:C59)</f>
        <v>0</v>
      </c>
      <c r="D57" s="186">
        <f>SUM(D58:D59)</f>
        <v>0</v>
      </c>
      <c r="E57" s="186">
        <f t="shared" ref="E57" si="56">SUM(E58:E59)</f>
        <v>0</v>
      </c>
      <c r="F57" s="484">
        <f t="shared" si="55"/>
        <v>3000</v>
      </c>
      <c r="G57" s="484">
        <f>SUM(G58:G59)</f>
        <v>0</v>
      </c>
      <c r="H57" s="484">
        <f t="shared" si="55"/>
        <v>0</v>
      </c>
      <c r="I57" s="13" t="e">
        <f t="shared" si="50"/>
        <v>#DIV/0!</v>
      </c>
      <c r="J57" s="13" t="e">
        <f t="shared" si="51"/>
        <v>#DIV/0!</v>
      </c>
      <c r="K57" s="154"/>
      <c r="L57" s="139"/>
      <c r="M57" s="139"/>
      <c r="N57" s="154"/>
      <c r="P57" s="135">
        <f t="shared" si="52"/>
        <v>0</v>
      </c>
    </row>
    <row r="58" spans="1:16" s="19" customFormat="1" x14ac:dyDescent="0.25">
      <c r="A58" s="20">
        <v>6513</v>
      </c>
      <c r="B58" s="21" t="s">
        <v>420</v>
      </c>
      <c r="C58" s="487"/>
      <c r="D58" s="188"/>
      <c r="E58" s="188"/>
      <c r="F58" s="242">
        <v>3000</v>
      </c>
      <c r="G58" s="242"/>
      <c r="H58" s="242"/>
      <c r="I58" s="18" t="e">
        <f t="shared" si="50"/>
        <v>#DIV/0!</v>
      </c>
      <c r="J58" s="18" t="e">
        <f t="shared" si="51"/>
        <v>#DIV/0!</v>
      </c>
      <c r="K58" s="154">
        <v>21</v>
      </c>
      <c r="L58" s="139">
        <v>21</v>
      </c>
      <c r="M58" s="139">
        <v>21</v>
      </c>
      <c r="N58" s="154">
        <v>21</v>
      </c>
      <c r="O58" s="19">
        <v>21</v>
      </c>
      <c r="P58" s="135">
        <f t="shared" si="52"/>
        <v>0</v>
      </c>
    </row>
    <row r="59" spans="1:16" s="19" customFormat="1" x14ac:dyDescent="0.25">
      <c r="A59" s="15">
        <v>6514</v>
      </c>
      <c r="B59" s="16" t="s">
        <v>421</v>
      </c>
      <c r="C59" s="485"/>
      <c r="D59" s="188"/>
      <c r="E59" s="188"/>
      <c r="F59" s="242"/>
      <c r="G59" s="242"/>
      <c r="H59" s="242"/>
      <c r="I59" s="17" t="e">
        <f t="shared" si="50"/>
        <v>#DIV/0!</v>
      </c>
      <c r="J59" s="17" t="e">
        <f t="shared" si="51"/>
        <v>#DIV/0!</v>
      </c>
      <c r="K59" s="157">
        <v>31</v>
      </c>
      <c r="L59" s="158">
        <v>31</v>
      </c>
      <c r="M59" s="158">
        <v>31</v>
      </c>
      <c r="N59" s="157">
        <v>31</v>
      </c>
      <c r="O59" s="19">
        <v>31</v>
      </c>
      <c r="P59" s="135">
        <f t="shared" si="52"/>
        <v>0</v>
      </c>
    </row>
    <row r="60" spans="1:16" s="14" customFormat="1" x14ac:dyDescent="0.25">
      <c r="A60" s="11">
        <v>652</v>
      </c>
      <c r="B60" s="12" t="s">
        <v>137</v>
      </c>
      <c r="C60" s="484">
        <f t="shared" ref="C60:H60" si="57">SUM(C61:C64)</f>
        <v>0</v>
      </c>
      <c r="D60" s="186">
        <f t="shared" ref="D60:E60" si="58">SUM(D61:D64)</f>
        <v>280.05</v>
      </c>
      <c r="E60" s="186">
        <f t="shared" si="58"/>
        <v>299.43</v>
      </c>
      <c r="F60" s="484">
        <f t="shared" si="57"/>
        <v>4000</v>
      </c>
      <c r="G60" s="484">
        <f>SUM(G61:G64)</f>
        <v>300</v>
      </c>
      <c r="H60" s="484">
        <f t="shared" si="57"/>
        <v>299.43</v>
      </c>
      <c r="I60" s="13">
        <f t="shared" si="50"/>
        <v>1428.3163720764148</v>
      </c>
      <c r="J60" s="13">
        <f t="shared" si="51"/>
        <v>1335.8714891627426</v>
      </c>
      <c r="K60" s="154">
        <v>31</v>
      </c>
      <c r="L60" s="139">
        <v>31</v>
      </c>
      <c r="M60" s="139">
        <v>31</v>
      </c>
      <c r="N60" s="154">
        <v>31</v>
      </c>
      <c r="O60" s="19">
        <v>31</v>
      </c>
      <c r="P60" s="135">
        <f t="shared" si="52"/>
        <v>0</v>
      </c>
    </row>
    <row r="61" spans="1:16" s="19" customFormat="1" x14ac:dyDescent="0.25">
      <c r="A61" s="15">
        <v>6522</v>
      </c>
      <c r="B61" s="16" t="s">
        <v>444</v>
      </c>
      <c r="C61" s="485"/>
      <c r="D61" s="188"/>
      <c r="E61" s="188">
        <v>19.38</v>
      </c>
      <c r="F61" s="242"/>
      <c r="G61" s="242"/>
      <c r="H61" s="242">
        <v>19.38</v>
      </c>
      <c r="I61" s="17"/>
      <c r="J61" s="17"/>
      <c r="K61" s="157"/>
      <c r="L61" s="158"/>
      <c r="M61" s="158"/>
      <c r="N61" s="157"/>
      <c r="P61" s="135">
        <f t="shared" si="52"/>
        <v>0</v>
      </c>
    </row>
    <row r="62" spans="1:16" s="19" customFormat="1" x14ac:dyDescent="0.25">
      <c r="A62" s="15">
        <v>6524</v>
      </c>
      <c r="B62" s="16" t="s">
        <v>422</v>
      </c>
      <c r="C62" s="485"/>
      <c r="D62" s="188">
        <v>280.05</v>
      </c>
      <c r="E62" s="188">
        <v>280.05</v>
      </c>
      <c r="F62" s="242">
        <v>4000</v>
      </c>
      <c r="G62" s="242">
        <v>300</v>
      </c>
      <c r="H62" s="242">
        <v>280.05</v>
      </c>
      <c r="I62" s="17">
        <f>SUM(F62/D62)*100</f>
        <v>1428.3163720764148</v>
      </c>
      <c r="J62" s="17">
        <f>SUM(F62/E62)*100</f>
        <v>1428.3163720764148</v>
      </c>
      <c r="K62" s="157"/>
      <c r="L62" s="158"/>
      <c r="M62" s="158"/>
      <c r="N62" s="157"/>
      <c r="P62" s="135">
        <f t="shared" si="52"/>
        <v>0</v>
      </c>
    </row>
    <row r="63" spans="1:16" s="19" customFormat="1" x14ac:dyDescent="0.25">
      <c r="A63" s="15">
        <v>6526</v>
      </c>
      <c r="B63" s="16" t="s">
        <v>555</v>
      </c>
      <c r="C63" s="485"/>
      <c r="D63" s="188"/>
      <c r="E63" s="188"/>
      <c r="F63" s="242"/>
      <c r="G63" s="242"/>
      <c r="H63" s="242"/>
      <c r="I63" s="17"/>
      <c r="J63" s="17"/>
      <c r="K63" s="157"/>
      <c r="L63" s="158"/>
      <c r="M63" s="158"/>
      <c r="N63" s="157"/>
      <c r="P63" s="135">
        <f t="shared" si="52"/>
        <v>0</v>
      </c>
    </row>
    <row r="64" spans="1:16" s="19" customFormat="1" x14ac:dyDescent="0.25">
      <c r="A64" s="20">
        <v>6526</v>
      </c>
      <c r="B64" s="21" t="s">
        <v>423</v>
      </c>
      <c r="C64" s="487"/>
      <c r="D64" s="188"/>
      <c r="E64" s="188"/>
      <c r="F64" s="242"/>
      <c r="G64" s="242"/>
      <c r="H64" s="242"/>
      <c r="I64" s="18" t="e">
        <f>SUM(F64/D64)*100</f>
        <v>#DIV/0!</v>
      </c>
      <c r="J64" s="18" t="e">
        <f>SUM(F64/E64)*100</f>
        <v>#DIV/0!</v>
      </c>
      <c r="K64" s="154"/>
      <c r="L64" s="139"/>
      <c r="M64" s="139"/>
      <c r="N64" s="154"/>
      <c r="P64" s="135">
        <f t="shared" si="52"/>
        <v>0</v>
      </c>
    </row>
    <row r="65" spans="1:23" s="19" customFormat="1" x14ac:dyDescent="0.25">
      <c r="A65" s="11">
        <v>653</v>
      </c>
      <c r="B65" s="12" t="s">
        <v>138</v>
      </c>
      <c r="C65" s="484">
        <f t="shared" ref="C65:H65" si="59">SUM(C66:C68)</f>
        <v>0</v>
      </c>
      <c r="D65" s="186">
        <f t="shared" ref="D65:E65" si="60">SUM(D66:D68)</f>
        <v>19094.169999999998</v>
      </c>
      <c r="E65" s="186">
        <f t="shared" si="60"/>
        <v>39471.120000000003</v>
      </c>
      <c r="F65" s="484">
        <f t="shared" si="59"/>
        <v>63000</v>
      </c>
      <c r="G65" s="484">
        <f>SUM(G66:G68)</f>
        <v>43000</v>
      </c>
      <c r="H65" s="484">
        <f t="shared" si="59"/>
        <v>39471.120000000003</v>
      </c>
      <c r="I65" s="13">
        <f>SUM(F65/D65)*100</f>
        <v>329.94364248354344</v>
      </c>
      <c r="J65" s="13">
        <f>SUM(F65/E65)*100</f>
        <v>159.61036828952408</v>
      </c>
      <c r="K65" s="154">
        <v>31</v>
      </c>
      <c r="L65" s="139">
        <v>31</v>
      </c>
      <c r="M65" s="139">
        <v>31</v>
      </c>
      <c r="N65" s="154">
        <v>31</v>
      </c>
      <c r="O65" s="19">
        <v>31</v>
      </c>
      <c r="P65" s="135">
        <f t="shared" si="52"/>
        <v>0</v>
      </c>
    </row>
    <row r="66" spans="1:23" s="19" customFormat="1" x14ac:dyDescent="0.25">
      <c r="A66" s="15">
        <v>6531</v>
      </c>
      <c r="B66" s="16" t="s">
        <v>724</v>
      </c>
      <c r="C66" s="485"/>
      <c r="D66" s="188">
        <v>55.88</v>
      </c>
      <c r="E66" s="188">
        <v>1492.15</v>
      </c>
      <c r="F66" s="242">
        <v>63000</v>
      </c>
      <c r="G66" s="242">
        <v>2000</v>
      </c>
      <c r="H66" s="242">
        <v>1492.15</v>
      </c>
      <c r="I66" s="17">
        <f>SUM(F66/D66)*100</f>
        <v>112741.58911954187</v>
      </c>
      <c r="J66" s="17">
        <f>SUM(F66/E66)*100</f>
        <v>4222.0956338169754</v>
      </c>
      <c r="K66" s="157"/>
      <c r="L66" s="158"/>
      <c r="M66" s="158"/>
      <c r="N66" s="157"/>
      <c r="P66" s="135">
        <f t="shared" si="52"/>
        <v>0</v>
      </c>
    </row>
    <row r="67" spans="1:23" s="19" customFormat="1" x14ac:dyDescent="0.25">
      <c r="A67" s="15"/>
      <c r="B67" s="16" t="s">
        <v>725</v>
      </c>
      <c r="C67" s="485"/>
      <c r="D67" s="188">
        <v>205.9</v>
      </c>
      <c r="E67" s="188">
        <v>205.9</v>
      </c>
      <c r="F67" s="242"/>
      <c r="G67" s="242"/>
      <c r="H67" s="242">
        <v>205.9</v>
      </c>
      <c r="I67" s="17"/>
      <c r="J67" s="17"/>
      <c r="K67" s="157"/>
      <c r="L67" s="158"/>
      <c r="M67" s="158"/>
      <c r="N67" s="157"/>
      <c r="P67" s="135">
        <f t="shared" si="52"/>
        <v>0</v>
      </c>
    </row>
    <row r="68" spans="1:23" s="19" customFormat="1" x14ac:dyDescent="0.25">
      <c r="A68" s="15">
        <v>6532</v>
      </c>
      <c r="B68" s="16" t="s">
        <v>424</v>
      </c>
      <c r="C68" s="485"/>
      <c r="D68" s="188">
        <v>18832.39</v>
      </c>
      <c r="E68" s="188">
        <v>37773.07</v>
      </c>
      <c r="F68" s="242"/>
      <c r="G68" s="242">
        <v>41000</v>
      </c>
      <c r="H68" s="242">
        <v>37773.07</v>
      </c>
      <c r="I68" s="17">
        <f>SUM(F68/D68)*100</f>
        <v>0</v>
      </c>
      <c r="J68" s="17">
        <f>SUM(F68/E68)*100</f>
        <v>0</v>
      </c>
      <c r="K68" s="157"/>
      <c r="L68" s="158"/>
      <c r="M68" s="158"/>
      <c r="N68" s="157"/>
      <c r="P68" s="135">
        <f t="shared" si="52"/>
        <v>0</v>
      </c>
    </row>
    <row r="69" spans="1:23" s="19" customFormat="1" ht="31.5" x14ac:dyDescent="0.25">
      <c r="A69" s="6">
        <v>66</v>
      </c>
      <c r="B69" s="10" t="s">
        <v>428</v>
      </c>
      <c r="C69" s="483">
        <f t="shared" ref="C69:H69" si="61">SUM(C70+C73)</f>
        <v>0</v>
      </c>
      <c r="D69" s="182">
        <f>SUM(D70+D73)</f>
        <v>3396.5699999999997</v>
      </c>
      <c r="E69" s="182">
        <f t="shared" ref="E69" si="62">SUM(E70+E73)</f>
        <v>4351.62</v>
      </c>
      <c r="F69" s="483">
        <f t="shared" si="61"/>
        <v>18000</v>
      </c>
      <c r="G69" s="483">
        <f>SUM(G70+G73)</f>
        <v>20000</v>
      </c>
      <c r="H69" s="483">
        <f t="shared" si="61"/>
        <v>4351.62</v>
      </c>
      <c r="I69" s="8"/>
      <c r="J69" s="8"/>
      <c r="K69" s="154"/>
      <c r="L69" s="139"/>
      <c r="M69" s="139"/>
      <c r="N69" s="154"/>
      <c r="P69" s="135">
        <f t="shared" si="52"/>
        <v>0</v>
      </c>
    </row>
    <row r="70" spans="1:23" s="9" customFormat="1" ht="20.25" customHeight="1" x14ac:dyDescent="0.25">
      <c r="A70" s="11">
        <v>661</v>
      </c>
      <c r="B70" s="12" t="s">
        <v>139</v>
      </c>
      <c r="C70" s="484">
        <f t="shared" ref="C70:H70" si="63">SUM(C71:C72)</f>
        <v>0</v>
      </c>
      <c r="D70" s="186">
        <f>SUM(D71:D72)</f>
        <v>3396.5699999999997</v>
      </c>
      <c r="E70" s="186">
        <f t="shared" ref="E70" si="64">SUM(E71:E72)</f>
        <v>4351.62</v>
      </c>
      <c r="F70" s="484">
        <f t="shared" si="63"/>
        <v>14000</v>
      </c>
      <c r="G70" s="484">
        <f>SUM(G71:G72)</f>
        <v>16000</v>
      </c>
      <c r="H70" s="484">
        <f t="shared" si="63"/>
        <v>4351.62</v>
      </c>
      <c r="I70" s="13">
        <f>SUM(F70/D70)*100</f>
        <v>412.18052329261587</v>
      </c>
      <c r="J70" s="13">
        <f>SUM(F70/E70)*100</f>
        <v>321.71926776694659</v>
      </c>
      <c r="K70" s="154"/>
      <c r="L70" s="139"/>
      <c r="M70" s="139"/>
      <c r="N70" s="154"/>
      <c r="O70" s="19"/>
      <c r="P70" s="135">
        <f t="shared" si="52"/>
        <v>0</v>
      </c>
    </row>
    <row r="71" spans="1:23" s="19" customFormat="1" ht="20.25" customHeight="1" x14ac:dyDescent="0.25">
      <c r="A71" s="15">
        <v>6614</v>
      </c>
      <c r="B71" s="16" t="s">
        <v>876</v>
      </c>
      <c r="C71" s="242"/>
      <c r="D71" s="188">
        <v>864.85</v>
      </c>
      <c r="E71" s="188">
        <v>1819.9</v>
      </c>
      <c r="F71" s="242"/>
      <c r="G71" s="242">
        <v>2000</v>
      </c>
      <c r="H71" s="242">
        <v>1819.9</v>
      </c>
      <c r="I71" s="17"/>
      <c r="J71" s="17"/>
      <c r="K71" s="157">
        <v>21</v>
      </c>
      <c r="L71" s="158">
        <v>21</v>
      </c>
      <c r="M71" s="158">
        <v>21</v>
      </c>
      <c r="N71" s="157">
        <v>21</v>
      </c>
      <c r="O71" s="19">
        <v>21</v>
      </c>
      <c r="P71" s="177"/>
    </row>
    <row r="72" spans="1:23" s="14" customFormat="1" x14ac:dyDescent="0.25">
      <c r="A72" s="15">
        <v>6615</v>
      </c>
      <c r="B72" s="16" t="s">
        <v>425</v>
      </c>
      <c r="C72" s="485"/>
      <c r="D72" s="188">
        <v>2531.7199999999998</v>
      </c>
      <c r="E72" s="188">
        <v>2531.7199999999998</v>
      </c>
      <c r="F72" s="242">
        <v>14000</v>
      </c>
      <c r="G72" s="242">
        <v>14000</v>
      </c>
      <c r="H72" s="242">
        <v>2531.7199999999998</v>
      </c>
      <c r="I72" s="18">
        <f>SUM(F72/D72)*100</f>
        <v>552.98374227797706</v>
      </c>
      <c r="J72" s="18">
        <f>SUM(F72/E72)*100</f>
        <v>552.98374227797706</v>
      </c>
      <c r="K72" s="67">
        <v>21</v>
      </c>
      <c r="L72" s="139">
        <v>21</v>
      </c>
      <c r="M72" s="139">
        <v>21</v>
      </c>
      <c r="N72" s="67">
        <v>21</v>
      </c>
      <c r="O72" s="19">
        <v>21</v>
      </c>
      <c r="P72" s="135">
        <f t="shared" ref="P72:P83" si="65">SUM((C72/9)*12)</f>
        <v>0</v>
      </c>
    </row>
    <row r="73" spans="1:23" s="19" customFormat="1" x14ac:dyDescent="0.25">
      <c r="A73" s="93">
        <v>663</v>
      </c>
      <c r="B73" s="95" t="s">
        <v>536</v>
      </c>
      <c r="C73" s="490">
        <f t="shared" ref="C73:H73" si="66">SUM(C74)</f>
        <v>0</v>
      </c>
      <c r="D73" s="207">
        <f t="shared" si="66"/>
        <v>0</v>
      </c>
      <c r="E73" s="207">
        <f t="shared" si="66"/>
        <v>0</v>
      </c>
      <c r="F73" s="490">
        <f t="shared" si="66"/>
        <v>4000</v>
      </c>
      <c r="G73" s="490">
        <f t="shared" si="66"/>
        <v>4000</v>
      </c>
      <c r="H73" s="490">
        <f t="shared" si="66"/>
        <v>0</v>
      </c>
      <c r="I73" s="94"/>
      <c r="J73" s="94"/>
      <c r="K73" s="154"/>
      <c r="L73" s="139"/>
      <c r="M73" s="139"/>
      <c r="N73" s="154"/>
      <c r="P73" s="135">
        <f t="shared" si="65"/>
        <v>0</v>
      </c>
    </row>
    <row r="74" spans="1:23" s="9" customFormat="1" x14ac:dyDescent="0.25">
      <c r="A74" s="15">
        <v>6631</v>
      </c>
      <c r="B74" s="16" t="s">
        <v>426</v>
      </c>
      <c r="C74" s="485"/>
      <c r="D74" s="188"/>
      <c r="E74" s="188"/>
      <c r="F74" s="242">
        <v>4000</v>
      </c>
      <c r="G74" s="242">
        <v>4000</v>
      </c>
      <c r="H74" s="242"/>
      <c r="I74" s="18"/>
      <c r="J74" s="18"/>
      <c r="K74" s="154">
        <v>51</v>
      </c>
      <c r="L74" s="139">
        <v>51</v>
      </c>
      <c r="M74" s="139">
        <v>51</v>
      </c>
      <c r="N74" s="154">
        <v>51</v>
      </c>
      <c r="O74" s="19">
        <v>51</v>
      </c>
      <c r="P74" s="135">
        <f t="shared" si="65"/>
        <v>0</v>
      </c>
    </row>
    <row r="75" spans="1:23" s="14" customFormat="1" x14ac:dyDescent="0.25">
      <c r="A75" s="6">
        <v>68</v>
      </c>
      <c r="B75" s="10" t="s">
        <v>726</v>
      </c>
      <c r="C75" s="483">
        <f>SUM(C76)</f>
        <v>0</v>
      </c>
      <c r="D75" s="182">
        <f t="shared" ref="D75:H76" si="67">SUM(D76)</f>
        <v>12227.75</v>
      </c>
      <c r="E75" s="182">
        <f t="shared" si="67"/>
        <v>12419.04</v>
      </c>
      <c r="F75" s="483">
        <f t="shared" si="67"/>
        <v>0</v>
      </c>
      <c r="G75" s="483">
        <f t="shared" si="67"/>
        <v>15000</v>
      </c>
      <c r="H75" s="483">
        <f t="shared" si="67"/>
        <v>12419.04</v>
      </c>
      <c r="I75" s="8"/>
      <c r="J75" s="8"/>
      <c r="K75" s="154"/>
      <c r="L75" s="139"/>
      <c r="M75" s="139"/>
      <c r="N75" s="154"/>
      <c r="O75" s="19"/>
      <c r="P75" s="135">
        <f t="shared" si="65"/>
        <v>0</v>
      </c>
    </row>
    <row r="76" spans="1:23" s="19" customFormat="1" x14ac:dyDescent="0.25">
      <c r="A76" s="11">
        <v>683</v>
      </c>
      <c r="B76" s="12" t="s">
        <v>727</v>
      </c>
      <c r="C76" s="484">
        <f>SUM(C77)</f>
        <v>0</v>
      </c>
      <c r="D76" s="186">
        <f t="shared" si="67"/>
        <v>12227.75</v>
      </c>
      <c r="E76" s="186">
        <f t="shared" si="67"/>
        <v>12419.04</v>
      </c>
      <c r="F76" s="484">
        <f t="shared" si="67"/>
        <v>0</v>
      </c>
      <c r="G76" s="484">
        <f t="shared" si="67"/>
        <v>15000</v>
      </c>
      <c r="H76" s="484">
        <f t="shared" si="67"/>
        <v>12419.04</v>
      </c>
      <c r="I76" s="13"/>
      <c r="J76" s="13"/>
      <c r="K76" s="159"/>
      <c r="L76" s="160"/>
      <c r="M76" s="160"/>
      <c r="N76" s="159"/>
      <c r="P76" s="135">
        <f t="shared" si="65"/>
        <v>0</v>
      </c>
    </row>
    <row r="77" spans="1:23" x14ac:dyDescent="0.25">
      <c r="A77" s="15">
        <v>6831</v>
      </c>
      <c r="B77" s="16" t="s">
        <v>727</v>
      </c>
      <c r="C77" s="485"/>
      <c r="D77" s="188">
        <v>12227.75</v>
      </c>
      <c r="E77" s="188">
        <v>12419.04</v>
      </c>
      <c r="F77" s="242"/>
      <c r="G77" s="242">
        <v>15000</v>
      </c>
      <c r="H77" s="242">
        <v>12419.04</v>
      </c>
      <c r="I77" s="18"/>
      <c r="J77" s="18"/>
      <c r="K77" s="154">
        <v>21</v>
      </c>
      <c r="L77" s="139">
        <v>21</v>
      </c>
      <c r="M77" s="139">
        <v>21</v>
      </c>
      <c r="N77" s="154">
        <v>21</v>
      </c>
      <c r="O77" s="19">
        <v>21</v>
      </c>
      <c r="P77" s="135">
        <f t="shared" si="65"/>
        <v>0</v>
      </c>
      <c r="Q77" s="5"/>
      <c r="R77" s="5"/>
      <c r="S77" s="5"/>
      <c r="T77" s="5"/>
      <c r="U77" s="5"/>
      <c r="V77" s="5"/>
      <c r="W77" s="5"/>
    </row>
    <row r="78" spans="1:23" x14ac:dyDescent="0.25">
      <c r="A78" s="6">
        <v>7</v>
      </c>
      <c r="B78" s="10" t="s">
        <v>117</v>
      </c>
      <c r="C78" s="483">
        <f t="shared" ref="C78:H78" si="68">SUM(C79+C81)</f>
        <v>0</v>
      </c>
      <c r="D78" s="182">
        <f>SUM(D79+D81)</f>
        <v>3692.19</v>
      </c>
      <c r="E78" s="182">
        <f t="shared" ref="E78" si="69">SUM(E79+E81)</f>
        <v>46437.3</v>
      </c>
      <c r="F78" s="483">
        <f t="shared" si="68"/>
        <v>40500</v>
      </c>
      <c r="G78" s="483">
        <f>SUM(G79+G81)</f>
        <v>50000</v>
      </c>
      <c r="H78" s="483">
        <f t="shared" si="68"/>
        <v>46437.3</v>
      </c>
      <c r="I78" s="8">
        <f t="shared" ref="I78:I83" si="70">SUM(F78/D78)*100</f>
        <v>1096.9099640051027</v>
      </c>
      <c r="J78" s="8">
        <f t="shared" ref="J78:J83" si="71">SUM(F78/E78)*100</f>
        <v>87.214372928658634</v>
      </c>
      <c r="K78" s="154">
        <v>61</v>
      </c>
      <c r="L78" s="139">
        <v>61</v>
      </c>
      <c r="M78" s="139">
        <v>61</v>
      </c>
      <c r="N78" s="154">
        <v>61</v>
      </c>
      <c r="O78" s="19">
        <v>61</v>
      </c>
      <c r="P78" s="135">
        <f t="shared" si="65"/>
        <v>0</v>
      </c>
      <c r="Q78" s="5"/>
      <c r="R78" s="5"/>
      <c r="S78" s="5"/>
      <c r="T78" s="5"/>
      <c r="U78" s="5"/>
      <c r="V78" s="5"/>
      <c r="W78" s="5"/>
    </row>
    <row r="79" spans="1:23" ht="31.5" x14ac:dyDescent="0.25">
      <c r="A79" s="11">
        <v>711</v>
      </c>
      <c r="B79" s="23" t="s">
        <v>140</v>
      </c>
      <c r="C79" s="488">
        <f t="shared" ref="C79:H79" si="72">SUM(C80:C80)</f>
        <v>0</v>
      </c>
      <c r="D79" s="206">
        <f t="shared" si="72"/>
        <v>3692.19</v>
      </c>
      <c r="E79" s="206">
        <f t="shared" si="72"/>
        <v>46437.3</v>
      </c>
      <c r="F79" s="488">
        <f t="shared" si="72"/>
        <v>40000</v>
      </c>
      <c r="G79" s="488">
        <f t="shared" si="72"/>
        <v>50000</v>
      </c>
      <c r="H79" s="488">
        <f t="shared" si="72"/>
        <v>46437.3</v>
      </c>
      <c r="I79" s="13">
        <f t="shared" si="70"/>
        <v>1083.367865684052</v>
      </c>
      <c r="J79" s="13">
        <f t="shared" si="71"/>
        <v>86.137652275218414</v>
      </c>
      <c r="N79" s="154"/>
      <c r="P79" s="135">
        <f t="shared" si="65"/>
        <v>0</v>
      </c>
      <c r="Q79" s="5"/>
      <c r="R79" s="5"/>
      <c r="S79" s="5"/>
      <c r="T79" s="5"/>
      <c r="U79" s="5"/>
      <c r="V79" s="5"/>
      <c r="W79" s="5"/>
    </row>
    <row r="80" spans="1:23" x14ac:dyDescent="0.25">
      <c r="A80" s="15">
        <v>7111</v>
      </c>
      <c r="B80" s="16" t="s">
        <v>427</v>
      </c>
      <c r="C80" s="491"/>
      <c r="D80" s="188">
        <v>3692.19</v>
      </c>
      <c r="E80" s="188">
        <v>46437.3</v>
      </c>
      <c r="F80" s="242">
        <v>40000</v>
      </c>
      <c r="G80" s="242">
        <v>50000</v>
      </c>
      <c r="H80" s="242">
        <v>46437.3</v>
      </c>
      <c r="I80" s="18">
        <f t="shared" si="70"/>
        <v>1083.367865684052</v>
      </c>
      <c r="J80" s="18">
        <f t="shared" si="71"/>
        <v>86.137652275218414</v>
      </c>
      <c r="N80" s="154"/>
      <c r="P80" s="135">
        <f t="shared" si="65"/>
        <v>0</v>
      </c>
      <c r="Q80" s="5"/>
      <c r="R80" s="5"/>
      <c r="S80" s="5"/>
      <c r="T80" s="5"/>
      <c r="U80" s="5"/>
      <c r="V80" s="5"/>
      <c r="W80" s="5"/>
    </row>
    <row r="81" spans="1:23" x14ac:dyDescent="0.25">
      <c r="A81" s="6">
        <v>72</v>
      </c>
      <c r="B81" s="10" t="s">
        <v>141</v>
      </c>
      <c r="C81" s="483">
        <f t="shared" ref="C81:H82" si="73">SUM(C82)</f>
        <v>0</v>
      </c>
      <c r="D81" s="182">
        <f t="shared" si="73"/>
        <v>0</v>
      </c>
      <c r="E81" s="182">
        <f t="shared" si="73"/>
        <v>0</v>
      </c>
      <c r="F81" s="483">
        <f t="shared" si="73"/>
        <v>500</v>
      </c>
      <c r="G81" s="483">
        <f t="shared" si="73"/>
        <v>0</v>
      </c>
      <c r="H81" s="483">
        <f t="shared" si="73"/>
        <v>0</v>
      </c>
      <c r="I81" s="8" t="e">
        <f t="shared" si="70"/>
        <v>#DIV/0!</v>
      </c>
      <c r="J81" s="8" t="e">
        <f t="shared" si="71"/>
        <v>#DIV/0!</v>
      </c>
      <c r="N81" s="154"/>
      <c r="P81" s="135">
        <f t="shared" si="65"/>
        <v>0</v>
      </c>
      <c r="Q81" s="5"/>
      <c r="R81" s="5"/>
      <c r="S81" s="5"/>
      <c r="T81" s="5"/>
      <c r="U81" s="5"/>
      <c r="V81" s="5"/>
      <c r="W81" s="5"/>
    </row>
    <row r="82" spans="1:23" x14ac:dyDescent="0.25">
      <c r="A82" s="22">
        <v>721</v>
      </c>
      <c r="B82" s="23" t="s">
        <v>142</v>
      </c>
      <c r="C82" s="488">
        <f t="shared" si="73"/>
        <v>0</v>
      </c>
      <c r="D82" s="206">
        <f t="shared" si="73"/>
        <v>0</v>
      </c>
      <c r="E82" s="206">
        <f t="shared" si="73"/>
        <v>0</v>
      </c>
      <c r="F82" s="488">
        <f t="shared" si="73"/>
        <v>500</v>
      </c>
      <c r="G82" s="488">
        <f t="shared" si="73"/>
        <v>0</v>
      </c>
      <c r="H82" s="488">
        <f t="shared" si="73"/>
        <v>0</v>
      </c>
      <c r="I82" s="13" t="e">
        <f t="shared" si="70"/>
        <v>#DIV/0!</v>
      </c>
      <c r="J82" s="13" t="e">
        <f t="shared" si="71"/>
        <v>#DIV/0!</v>
      </c>
      <c r="N82" s="154"/>
      <c r="P82" s="135">
        <f t="shared" si="65"/>
        <v>0</v>
      </c>
      <c r="Q82" s="5"/>
      <c r="R82" s="5"/>
      <c r="S82" s="5"/>
      <c r="T82" s="5"/>
      <c r="U82" s="5"/>
      <c r="V82" s="5"/>
      <c r="W82" s="5"/>
    </row>
    <row r="83" spans="1:23" x14ac:dyDescent="0.25">
      <c r="A83" s="15">
        <v>721191</v>
      </c>
      <c r="B83" s="16" t="s">
        <v>143</v>
      </c>
      <c r="C83" s="485"/>
      <c r="D83" s="188"/>
      <c r="E83" s="188"/>
      <c r="F83" s="242">
        <v>500</v>
      </c>
      <c r="G83" s="242"/>
      <c r="H83" s="242"/>
      <c r="I83" s="18" t="e">
        <f t="shared" si="70"/>
        <v>#DIV/0!</v>
      </c>
      <c r="J83" s="18" t="e">
        <f t="shared" si="71"/>
        <v>#DIV/0!</v>
      </c>
      <c r="N83" s="154"/>
      <c r="P83" s="135">
        <f t="shared" si="65"/>
        <v>0</v>
      </c>
      <c r="Q83" s="5"/>
      <c r="R83" s="5"/>
      <c r="S83" s="5"/>
      <c r="T83" s="5"/>
      <c r="U83" s="5"/>
      <c r="V83" s="5"/>
      <c r="W83" s="5"/>
    </row>
    <row r="84" spans="1:23" s="9" customFormat="1" x14ac:dyDescent="0.25">
      <c r="A84" s="7">
        <v>8</v>
      </c>
      <c r="B84" s="73" t="s">
        <v>865</v>
      </c>
      <c r="C84" s="492">
        <f>SUM(C85)</f>
        <v>0</v>
      </c>
      <c r="D84" s="195">
        <f t="shared" ref="D84:H85" si="74">SUM(D85)</f>
        <v>3373.35</v>
      </c>
      <c r="E84" s="195">
        <f t="shared" si="74"/>
        <v>8096.04</v>
      </c>
      <c r="F84" s="492">
        <f t="shared" si="74"/>
        <v>8000</v>
      </c>
      <c r="G84" s="492">
        <f t="shared" si="74"/>
        <v>8000</v>
      </c>
      <c r="H84" s="492">
        <f t="shared" si="74"/>
        <v>8096.04</v>
      </c>
      <c r="I84" s="68"/>
      <c r="J84" s="68"/>
      <c r="K84" s="162"/>
      <c r="L84" s="163"/>
      <c r="M84" s="163"/>
      <c r="N84" s="162"/>
      <c r="P84" s="134"/>
    </row>
    <row r="85" spans="1:23" s="14" customFormat="1" ht="31.5" x14ac:dyDescent="0.25">
      <c r="A85" s="72">
        <v>814</v>
      </c>
      <c r="B85" s="88" t="s">
        <v>866</v>
      </c>
      <c r="C85" s="493">
        <f>SUM(C86)</f>
        <v>0</v>
      </c>
      <c r="D85" s="200">
        <f t="shared" si="74"/>
        <v>3373.35</v>
      </c>
      <c r="E85" s="200">
        <f t="shared" si="74"/>
        <v>8096.04</v>
      </c>
      <c r="F85" s="493">
        <f t="shared" si="74"/>
        <v>8000</v>
      </c>
      <c r="G85" s="493">
        <f t="shared" si="74"/>
        <v>8000</v>
      </c>
      <c r="H85" s="493">
        <f t="shared" si="74"/>
        <v>8096.04</v>
      </c>
      <c r="I85" s="166"/>
      <c r="J85" s="166"/>
      <c r="K85" s="159"/>
      <c r="L85" s="160"/>
      <c r="M85" s="160"/>
      <c r="N85" s="159"/>
      <c r="P85" s="135"/>
    </row>
    <row r="86" spans="1:23" ht="30.75" customHeight="1" x14ac:dyDescent="0.25">
      <c r="A86" s="86">
        <v>81412</v>
      </c>
      <c r="B86" s="87" t="s">
        <v>867</v>
      </c>
      <c r="C86" s="494"/>
      <c r="D86" s="203">
        <v>3373.35</v>
      </c>
      <c r="E86" s="203">
        <v>8096.04</v>
      </c>
      <c r="F86" s="495">
        <v>8000</v>
      </c>
      <c r="G86" s="495">
        <v>8000</v>
      </c>
      <c r="H86" s="495">
        <v>8096.04</v>
      </c>
      <c r="I86" s="70"/>
      <c r="J86" s="70"/>
      <c r="N86" s="154"/>
      <c r="P86" s="135"/>
      <c r="Q86" s="5"/>
      <c r="R86" s="5"/>
      <c r="S86" s="5"/>
      <c r="T86" s="5"/>
      <c r="U86" s="5"/>
      <c r="V86" s="5"/>
      <c r="W86" s="5"/>
    </row>
    <row r="87" spans="1:23" x14ac:dyDescent="0.25">
      <c r="A87" s="161">
        <v>9</v>
      </c>
      <c r="B87" s="161" t="s">
        <v>106</v>
      </c>
      <c r="C87" s="230">
        <f t="shared" ref="C87:H87" si="75">SUM(C88)</f>
        <v>0</v>
      </c>
      <c r="D87" s="199">
        <f t="shared" si="75"/>
        <v>66550.42</v>
      </c>
      <c r="E87" s="199">
        <f t="shared" si="75"/>
        <v>66550.42</v>
      </c>
      <c r="F87" s="230">
        <f t="shared" si="75"/>
        <v>14000</v>
      </c>
      <c r="G87" s="230">
        <f t="shared" si="75"/>
        <v>66800</v>
      </c>
      <c r="H87" s="230">
        <f t="shared" si="75"/>
        <v>66550.42</v>
      </c>
      <c r="I87" s="68"/>
      <c r="J87" s="68"/>
      <c r="K87" s="162"/>
      <c r="L87" s="163"/>
      <c r="M87" s="163"/>
      <c r="N87" s="162"/>
      <c r="P87" s="135"/>
      <c r="Q87" s="5"/>
      <c r="R87" s="5"/>
      <c r="S87" s="5"/>
      <c r="T87" s="5"/>
      <c r="U87" s="5"/>
      <c r="V87" s="5"/>
      <c r="W87" s="5"/>
    </row>
    <row r="88" spans="1:23" x14ac:dyDescent="0.25">
      <c r="A88" s="140">
        <v>922</v>
      </c>
      <c r="B88" s="164" t="s">
        <v>107</v>
      </c>
      <c r="C88" s="496"/>
      <c r="D88" s="203">
        <v>66550.42</v>
      </c>
      <c r="E88" s="203">
        <v>66550.42</v>
      </c>
      <c r="F88" s="495">
        <v>14000</v>
      </c>
      <c r="G88" s="495">
        <v>66800</v>
      </c>
      <c r="H88" s="495">
        <v>66550.42</v>
      </c>
      <c r="I88" s="70"/>
      <c r="J88" s="70"/>
      <c r="N88" s="154"/>
      <c r="P88" s="135"/>
      <c r="Q88" s="5"/>
      <c r="R88" s="5"/>
      <c r="S88" s="5"/>
      <c r="T88" s="5"/>
      <c r="U88" s="5"/>
      <c r="V88" s="5"/>
      <c r="W88" s="5"/>
    </row>
    <row r="89" spans="1:23" x14ac:dyDescent="0.25">
      <c r="A89" s="25"/>
      <c r="E89" s="197">
        <f>SUM(E83+E80+E72+E66+E62+E58+E50+E47+E41+E36+E30+E28+E19+E94+E88+E33+E44+E74)</f>
        <v>2504747.7799999998</v>
      </c>
      <c r="F89" s="220">
        <f>SUM(F83+F80+F72+F66+F62+F58+F50+F47+F41+F36+F30+F28+F19+F94+F88+F33+F44+F74)</f>
        <v>1029000</v>
      </c>
      <c r="G89" s="220">
        <f>SUM(G83+G80+G72+G66+G62+G58+G50+G47+G41+G36+G30+G28+G19+G94+G88+G33+G44+G74)</f>
        <v>1666700</v>
      </c>
      <c r="N89" s="154"/>
      <c r="P89" s="135"/>
      <c r="Q89" s="5"/>
      <c r="R89" s="5"/>
      <c r="S89" s="5"/>
      <c r="T89" s="5"/>
      <c r="U89" s="5"/>
      <c r="V89" s="5"/>
      <c r="W89" s="5"/>
    </row>
    <row r="90" spans="1:23" x14ac:dyDescent="0.25">
      <c r="A90" s="29"/>
      <c r="B90" s="30"/>
      <c r="C90" s="498"/>
      <c r="N90" s="154"/>
      <c r="P90" s="133"/>
      <c r="Q90" s="5"/>
      <c r="R90" s="5"/>
      <c r="S90" s="5"/>
      <c r="T90" s="5"/>
      <c r="U90" s="5"/>
      <c r="V90" s="5"/>
      <c r="W90" s="5"/>
    </row>
    <row r="91" spans="1:23" x14ac:dyDescent="0.25">
      <c r="A91" s="24" t="s">
        <v>728</v>
      </c>
      <c r="N91" s="154"/>
      <c r="P91" s="133"/>
      <c r="Q91" s="5"/>
      <c r="R91" s="5"/>
      <c r="S91" s="5"/>
      <c r="T91" s="5"/>
      <c r="U91" s="5"/>
      <c r="V91" s="5"/>
      <c r="W91" s="5"/>
    </row>
    <row r="92" spans="1:23" x14ac:dyDescent="0.25">
      <c r="A92" s="71"/>
      <c r="N92" s="154"/>
      <c r="P92" s="133"/>
      <c r="Q92" s="5"/>
      <c r="R92" s="5"/>
      <c r="S92" s="5"/>
      <c r="T92" s="5"/>
      <c r="U92" s="5"/>
      <c r="V92" s="5"/>
      <c r="W92" s="5"/>
    </row>
    <row r="93" spans="1:23" x14ac:dyDescent="0.25">
      <c r="A93" s="7"/>
      <c r="B93" s="73" t="s">
        <v>971</v>
      </c>
      <c r="C93" s="492"/>
      <c r="D93" s="199">
        <f>SUM(D94+D110)</f>
        <v>50500.33</v>
      </c>
      <c r="E93" s="199">
        <f>SUM(E94+E110)</f>
        <v>93500.09</v>
      </c>
      <c r="F93" s="230">
        <f>SUM(F94+F110)</f>
        <v>128000</v>
      </c>
      <c r="G93" s="230">
        <f>SUM(G94+G110)</f>
        <v>135100</v>
      </c>
      <c r="H93" s="230">
        <f>SUM(H94+H110)</f>
        <v>93500.09</v>
      </c>
      <c r="N93" s="154"/>
      <c r="P93" s="133"/>
      <c r="Q93" s="5"/>
      <c r="R93" s="5"/>
      <c r="S93" s="5"/>
      <c r="T93" s="5"/>
      <c r="U93" s="5"/>
      <c r="V93" s="5"/>
      <c r="W93" s="5"/>
    </row>
    <row r="94" spans="1:23" x14ac:dyDescent="0.25">
      <c r="A94" s="7">
        <v>6</v>
      </c>
      <c r="B94" s="10" t="s">
        <v>116</v>
      </c>
      <c r="C94" s="492"/>
      <c r="D94" s="199">
        <f>SUM(D95+D98+D101+D104+D107)</f>
        <v>45933.18</v>
      </c>
      <c r="E94" s="199">
        <f>SUM(E95+E98+E101+E104+E107)</f>
        <v>86252.31</v>
      </c>
      <c r="F94" s="230">
        <f>SUM(F95+F98+F101+F104+F107)</f>
        <v>120000</v>
      </c>
      <c r="G94" s="230">
        <f>SUM(G95+G98+G101+G104+G107)</f>
        <v>130500</v>
      </c>
      <c r="H94" s="230">
        <f>SUM(H95+H98+H101+H104+H107)</f>
        <v>86252.31</v>
      </c>
      <c r="N94" s="154"/>
      <c r="P94" s="133"/>
      <c r="Q94" s="5"/>
      <c r="R94" s="5"/>
      <c r="S94" s="5"/>
      <c r="T94" s="5"/>
      <c r="U94" s="5"/>
      <c r="V94" s="5"/>
      <c r="W94" s="5"/>
    </row>
    <row r="95" spans="1:23" ht="31.5" x14ac:dyDescent="0.25">
      <c r="A95" s="7">
        <v>63</v>
      </c>
      <c r="B95" s="10" t="s">
        <v>128</v>
      </c>
      <c r="C95" s="492"/>
      <c r="D95" s="199">
        <v>0</v>
      </c>
      <c r="E95" s="199">
        <f t="shared" ref="E95:H96" si="76">SUM(E96)</f>
        <v>0</v>
      </c>
      <c r="F95" s="230">
        <f t="shared" si="76"/>
        <v>0</v>
      </c>
      <c r="G95" s="230">
        <f t="shared" si="76"/>
        <v>0</v>
      </c>
      <c r="H95" s="230">
        <f t="shared" si="76"/>
        <v>0</v>
      </c>
      <c r="N95" s="154"/>
      <c r="P95" s="133"/>
      <c r="Q95" s="5"/>
      <c r="R95" s="5"/>
      <c r="S95" s="5"/>
      <c r="T95" s="5"/>
      <c r="U95" s="5"/>
      <c r="V95" s="5"/>
      <c r="W95" s="5"/>
    </row>
    <row r="96" spans="1:23" x14ac:dyDescent="0.25">
      <c r="A96" s="72">
        <v>633</v>
      </c>
      <c r="B96" s="23" t="s">
        <v>129</v>
      </c>
      <c r="C96" s="493"/>
      <c r="D96" s="208">
        <v>0</v>
      </c>
      <c r="E96" s="208">
        <f t="shared" si="76"/>
        <v>0</v>
      </c>
      <c r="F96" s="499">
        <f t="shared" si="76"/>
        <v>0</v>
      </c>
      <c r="G96" s="499">
        <f t="shared" si="76"/>
        <v>0</v>
      </c>
      <c r="H96" s="499">
        <f t="shared" si="76"/>
        <v>0</v>
      </c>
      <c r="N96" s="154"/>
      <c r="P96" s="133"/>
      <c r="Q96" s="5"/>
      <c r="R96" s="5"/>
      <c r="S96" s="5"/>
      <c r="T96" s="5"/>
      <c r="U96" s="5"/>
      <c r="V96" s="5"/>
      <c r="W96" s="5"/>
    </row>
    <row r="97" spans="1:23" x14ac:dyDescent="0.25">
      <c r="A97" s="24">
        <v>63311</v>
      </c>
      <c r="B97" s="26" t="s">
        <v>729</v>
      </c>
      <c r="N97" s="154"/>
      <c r="P97" s="133"/>
      <c r="Q97" s="5"/>
      <c r="R97" s="5"/>
      <c r="S97" s="5"/>
      <c r="T97" s="5"/>
      <c r="U97" s="5"/>
      <c r="V97" s="5"/>
      <c r="W97" s="5"/>
    </row>
    <row r="98" spans="1:23" x14ac:dyDescent="0.25">
      <c r="A98" s="7">
        <v>64</v>
      </c>
      <c r="B98" s="10" t="s">
        <v>131</v>
      </c>
      <c r="C98" s="492"/>
      <c r="D98" s="199">
        <v>0</v>
      </c>
      <c r="E98" s="199">
        <f t="shared" ref="E98:H99" si="77">SUM(E99)</f>
        <v>0</v>
      </c>
      <c r="F98" s="230">
        <f t="shared" si="77"/>
        <v>0</v>
      </c>
      <c r="G98" s="230">
        <f t="shared" si="77"/>
        <v>0</v>
      </c>
      <c r="H98" s="230">
        <f t="shared" si="77"/>
        <v>0</v>
      </c>
      <c r="N98" s="154"/>
      <c r="P98" s="133"/>
      <c r="Q98" s="5"/>
      <c r="R98" s="5"/>
      <c r="S98" s="5"/>
      <c r="T98" s="5"/>
      <c r="U98" s="5"/>
      <c r="V98" s="5"/>
      <c r="W98" s="5"/>
    </row>
    <row r="99" spans="1:23" x14ac:dyDescent="0.25">
      <c r="A99" s="72">
        <v>641</v>
      </c>
      <c r="B99" s="12" t="s">
        <v>132</v>
      </c>
      <c r="C99" s="493"/>
      <c r="D99" s="208">
        <v>0</v>
      </c>
      <c r="E99" s="208">
        <f t="shared" si="77"/>
        <v>0</v>
      </c>
      <c r="F99" s="499">
        <f t="shared" si="77"/>
        <v>0</v>
      </c>
      <c r="G99" s="499">
        <f t="shared" si="77"/>
        <v>0</v>
      </c>
      <c r="H99" s="499">
        <f t="shared" si="77"/>
        <v>0</v>
      </c>
      <c r="N99" s="154"/>
      <c r="P99" s="133"/>
      <c r="Q99" s="5"/>
      <c r="R99" s="5"/>
      <c r="S99" s="5"/>
      <c r="T99" s="5"/>
      <c r="U99" s="5"/>
      <c r="V99" s="5"/>
      <c r="W99" s="5"/>
    </row>
    <row r="100" spans="1:23" x14ac:dyDescent="0.25">
      <c r="A100" s="24">
        <v>64132</v>
      </c>
      <c r="B100" s="26" t="s">
        <v>730</v>
      </c>
      <c r="N100" s="154"/>
      <c r="P100" s="133"/>
      <c r="Q100" s="5"/>
      <c r="R100" s="5"/>
      <c r="S100" s="5"/>
      <c r="T100" s="5"/>
      <c r="U100" s="5"/>
      <c r="V100" s="5"/>
      <c r="W100" s="5"/>
    </row>
    <row r="101" spans="1:23" ht="31.5" x14ac:dyDescent="0.25">
      <c r="A101" s="7">
        <v>65</v>
      </c>
      <c r="B101" s="10" t="s">
        <v>135</v>
      </c>
      <c r="C101" s="492"/>
      <c r="D101" s="199">
        <f t="shared" ref="D101:H102" si="78">SUM(D102)</f>
        <v>45933.18</v>
      </c>
      <c r="E101" s="199">
        <f t="shared" si="78"/>
        <v>86252.31</v>
      </c>
      <c r="F101" s="230">
        <f t="shared" si="78"/>
        <v>120000</v>
      </c>
      <c r="G101" s="230">
        <f t="shared" si="78"/>
        <v>130500</v>
      </c>
      <c r="H101" s="230">
        <f t="shared" si="78"/>
        <v>86252.31</v>
      </c>
      <c r="N101" s="154"/>
      <c r="P101" s="133"/>
      <c r="Q101" s="5"/>
      <c r="R101" s="5"/>
      <c r="S101" s="5"/>
      <c r="T101" s="5"/>
      <c r="U101" s="5"/>
      <c r="V101" s="5"/>
      <c r="W101" s="5"/>
    </row>
    <row r="102" spans="1:23" x14ac:dyDescent="0.25">
      <c r="A102" s="72">
        <v>652</v>
      </c>
      <c r="B102" s="12" t="s">
        <v>137</v>
      </c>
      <c r="C102" s="493"/>
      <c r="D102" s="208">
        <f t="shared" si="78"/>
        <v>45933.18</v>
      </c>
      <c r="E102" s="208">
        <f t="shared" si="78"/>
        <v>86252.31</v>
      </c>
      <c r="F102" s="499">
        <f t="shared" si="78"/>
        <v>120000</v>
      </c>
      <c r="G102" s="499">
        <f t="shared" si="78"/>
        <v>130500</v>
      </c>
      <c r="H102" s="499">
        <f t="shared" si="78"/>
        <v>86252.31</v>
      </c>
      <c r="N102" s="154"/>
      <c r="P102" s="133"/>
      <c r="Q102" s="5"/>
      <c r="R102" s="5"/>
      <c r="S102" s="5"/>
      <c r="T102" s="5"/>
      <c r="U102" s="5"/>
      <c r="V102" s="5"/>
      <c r="W102" s="5"/>
    </row>
    <row r="103" spans="1:23" x14ac:dyDescent="0.25">
      <c r="A103" s="24">
        <v>65264</v>
      </c>
      <c r="B103" s="26" t="s">
        <v>731</v>
      </c>
      <c r="D103" s="197">
        <v>45933.18</v>
      </c>
      <c r="E103" s="197">
        <v>86252.31</v>
      </c>
      <c r="F103" s="220">
        <v>120000</v>
      </c>
      <c r="G103" s="220">
        <v>130500</v>
      </c>
      <c r="H103" s="220">
        <v>86252.31</v>
      </c>
      <c r="N103" s="154"/>
      <c r="P103" s="133"/>
      <c r="Q103" s="5"/>
      <c r="R103" s="5"/>
      <c r="S103" s="5"/>
      <c r="T103" s="5"/>
      <c r="U103" s="5"/>
      <c r="V103" s="5"/>
      <c r="W103" s="5"/>
    </row>
    <row r="104" spans="1:23" ht="31.5" x14ac:dyDescent="0.25">
      <c r="A104" s="7">
        <v>66</v>
      </c>
      <c r="B104" s="10" t="s">
        <v>428</v>
      </c>
      <c r="C104" s="492"/>
      <c r="D104" s="199">
        <v>0</v>
      </c>
      <c r="E104" s="199">
        <f t="shared" ref="E104:H105" si="79">SUM(E105)</f>
        <v>0</v>
      </c>
      <c r="F104" s="230">
        <f t="shared" si="79"/>
        <v>0</v>
      </c>
      <c r="G104" s="230">
        <f t="shared" si="79"/>
        <v>0</v>
      </c>
      <c r="H104" s="230">
        <f t="shared" si="79"/>
        <v>0</v>
      </c>
      <c r="N104" s="154"/>
      <c r="P104" s="133"/>
      <c r="Q104" s="5"/>
      <c r="R104" s="5"/>
      <c r="S104" s="5"/>
      <c r="T104" s="5"/>
      <c r="U104" s="5"/>
      <c r="V104" s="5"/>
      <c r="W104" s="5"/>
    </row>
    <row r="105" spans="1:23" x14ac:dyDescent="0.25">
      <c r="A105" s="72">
        <v>661</v>
      </c>
      <c r="B105" s="12" t="s">
        <v>139</v>
      </c>
      <c r="C105" s="493"/>
      <c r="D105" s="208">
        <v>0</v>
      </c>
      <c r="E105" s="208">
        <f t="shared" si="79"/>
        <v>0</v>
      </c>
      <c r="F105" s="499">
        <f t="shared" si="79"/>
        <v>0</v>
      </c>
      <c r="G105" s="499">
        <f t="shared" si="79"/>
        <v>0</v>
      </c>
      <c r="H105" s="499">
        <f t="shared" si="79"/>
        <v>0</v>
      </c>
      <c r="N105" s="154"/>
      <c r="P105" s="133"/>
      <c r="Q105" s="5"/>
      <c r="R105" s="5"/>
      <c r="S105" s="5"/>
      <c r="T105" s="5"/>
      <c r="U105" s="5"/>
      <c r="V105" s="5"/>
      <c r="W105" s="5"/>
    </row>
    <row r="106" spans="1:23" x14ac:dyDescent="0.25">
      <c r="A106" s="24">
        <v>66111</v>
      </c>
      <c r="B106" s="26" t="s">
        <v>732</v>
      </c>
      <c r="N106" s="154"/>
      <c r="P106" s="133"/>
      <c r="Q106" s="5"/>
      <c r="R106" s="5"/>
      <c r="S106" s="5"/>
      <c r="T106" s="5"/>
      <c r="U106" s="5"/>
      <c r="V106" s="5"/>
      <c r="W106" s="5"/>
    </row>
    <row r="107" spans="1:23" x14ac:dyDescent="0.25">
      <c r="A107" s="7">
        <v>68</v>
      </c>
      <c r="B107" s="73" t="s">
        <v>726</v>
      </c>
      <c r="C107" s="492"/>
      <c r="D107" s="199">
        <v>0</v>
      </c>
      <c r="E107" s="199">
        <f>SUM(E108)</f>
        <v>0</v>
      </c>
      <c r="F107" s="230">
        <f>SUM(F108)</f>
        <v>0</v>
      </c>
      <c r="G107" s="230">
        <f>SUM(G108)</f>
        <v>0</v>
      </c>
      <c r="H107" s="230">
        <f>SUM(H108)</f>
        <v>0</v>
      </c>
      <c r="N107" s="154"/>
      <c r="P107" s="133"/>
      <c r="Q107" s="5"/>
      <c r="R107" s="5"/>
      <c r="S107" s="5"/>
      <c r="T107" s="5"/>
      <c r="U107" s="5"/>
      <c r="V107" s="5"/>
      <c r="W107" s="5"/>
    </row>
    <row r="108" spans="1:23" x14ac:dyDescent="0.25">
      <c r="A108" s="24">
        <v>68311</v>
      </c>
      <c r="B108" s="26" t="s">
        <v>727</v>
      </c>
      <c r="N108" s="154"/>
      <c r="P108" s="133"/>
      <c r="Q108" s="5"/>
      <c r="R108" s="5"/>
      <c r="S108" s="5"/>
      <c r="T108" s="5"/>
      <c r="U108" s="5"/>
      <c r="V108" s="5"/>
      <c r="W108" s="5"/>
    </row>
    <row r="109" spans="1:23" x14ac:dyDescent="0.25">
      <c r="A109" s="24">
        <v>9</v>
      </c>
      <c r="N109" s="154"/>
      <c r="P109" s="133"/>
      <c r="Q109" s="5"/>
      <c r="R109" s="5"/>
      <c r="S109" s="5"/>
      <c r="T109" s="5"/>
      <c r="U109" s="5"/>
      <c r="V109" s="5"/>
      <c r="W109" s="5"/>
    </row>
    <row r="110" spans="1:23" x14ac:dyDescent="0.25">
      <c r="A110" s="24">
        <v>922</v>
      </c>
      <c r="D110" s="197">
        <v>4567.1499999999996</v>
      </c>
      <c r="E110" s="197">
        <v>7247.78</v>
      </c>
      <c r="F110" s="220">
        <v>8000</v>
      </c>
      <c r="G110" s="220">
        <v>4600</v>
      </c>
      <c r="H110" s="220">
        <v>7247.78</v>
      </c>
      <c r="N110" s="154"/>
      <c r="P110" s="133"/>
      <c r="Q110" s="5"/>
      <c r="R110" s="5"/>
      <c r="S110" s="5"/>
      <c r="T110" s="5"/>
      <c r="U110" s="5"/>
      <c r="V110" s="5"/>
      <c r="W110" s="5"/>
    </row>
    <row r="111" spans="1:23" x14ac:dyDescent="0.25">
      <c r="P111" s="133"/>
      <c r="Q111" s="5"/>
      <c r="R111" s="5"/>
      <c r="S111" s="5"/>
      <c r="T111" s="5"/>
      <c r="U111" s="5"/>
      <c r="V111" s="5"/>
      <c r="W111" s="5"/>
    </row>
    <row r="112" spans="1:23" x14ac:dyDescent="0.25">
      <c r="P112" s="133"/>
      <c r="Q112" s="5"/>
      <c r="R112" s="5"/>
      <c r="S112" s="5"/>
      <c r="T112" s="5"/>
      <c r="U112" s="5"/>
      <c r="V112" s="5"/>
      <c r="W112" s="5"/>
    </row>
    <row r="113" spans="1:23" x14ac:dyDescent="0.25">
      <c r="A113" s="24" t="s">
        <v>923</v>
      </c>
      <c r="C113" s="220"/>
      <c r="I113" s="232"/>
      <c r="J113" s="231"/>
      <c r="P113" s="133"/>
      <c r="Q113" s="5"/>
      <c r="R113" s="5"/>
      <c r="S113" s="5"/>
      <c r="T113" s="5"/>
      <c r="U113" s="5"/>
      <c r="V113" s="5"/>
      <c r="W113" s="5"/>
    </row>
    <row r="114" spans="1:23" x14ac:dyDescent="0.25">
      <c r="C114" s="220"/>
      <c r="I114" s="232"/>
      <c r="P114" s="133"/>
      <c r="Q114" s="5"/>
      <c r="R114" s="5"/>
      <c r="S114" s="5"/>
      <c r="T114" s="5"/>
      <c r="U114" s="5"/>
      <c r="V114" s="5"/>
      <c r="W114" s="5"/>
    </row>
    <row r="115" spans="1:23" x14ac:dyDescent="0.25">
      <c r="A115" s="119">
        <v>6</v>
      </c>
      <c r="B115" s="219" t="s">
        <v>116</v>
      </c>
      <c r="C115" s="221">
        <f t="shared" ref="C115:H115" si="80">SUM(C116+C119+C122+C125+C128)</f>
        <v>0</v>
      </c>
      <c r="D115" s="222">
        <f t="shared" ref="D115:E115" si="81">SUM(D116+D119+D122+D125+D128)</f>
        <v>5206.1000000000004</v>
      </c>
      <c r="E115" s="222">
        <f t="shared" si="81"/>
        <v>11392.119999999999</v>
      </c>
      <c r="F115" s="221">
        <f t="shared" si="80"/>
        <v>1500</v>
      </c>
      <c r="G115" s="221">
        <f t="shared" si="80"/>
        <v>9800</v>
      </c>
      <c r="H115" s="221">
        <f t="shared" si="80"/>
        <v>11392.119999999999</v>
      </c>
      <c r="I115" s="233"/>
      <c r="P115" s="133"/>
      <c r="Q115" s="5"/>
      <c r="R115" s="5"/>
      <c r="S115" s="5"/>
      <c r="T115" s="5"/>
      <c r="U115" s="5"/>
      <c r="V115" s="5"/>
      <c r="W115" s="5"/>
    </row>
    <row r="116" spans="1:23" ht="31.5" x14ac:dyDescent="0.25">
      <c r="A116" s="119">
        <v>63</v>
      </c>
      <c r="B116" s="219" t="s">
        <v>128</v>
      </c>
      <c r="C116" s="221">
        <f t="shared" ref="C116:H117" si="82">SUM(C117)</f>
        <v>0</v>
      </c>
      <c r="D116" s="222">
        <f t="shared" si="82"/>
        <v>4705.34</v>
      </c>
      <c r="E116" s="222">
        <f t="shared" si="82"/>
        <v>10470.69</v>
      </c>
      <c r="F116" s="221">
        <f t="shared" si="82"/>
        <v>0</v>
      </c>
      <c r="G116" s="221">
        <f t="shared" si="82"/>
        <v>8800</v>
      </c>
      <c r="H116" s="221">
        <f t="shared" si="82"/>
        <v>10470.69</v>
      </c>
      <c r="I116" s="233"/>
      <c r="P116" s="133"/>
      <c r="Q116" s="5"/>
      <c r="R116" s="5"/>
      <c r="S116" s="5"/>
      <c r="T116" s="5"/>
      <c r="U116" s="5"/>
      <c r="V116" s="5"/>
      <c r="W116" s="5"/>
    </row>
    <row r="117" spans="1:23" x14ac:dyDescent="0.25">
      <c r="A117" s="223">
        <v>633</v>
      </c>
      <c r="B117" s="224" t="s">
        <v>129</v>
      </c>
      <c r="C117" s="225">
        <f t="shared" si="82"/>
        <v>0</v>
      </c>
      <c r="D117" s="226">
        <f t="shared" si="82"/>
        <v>4705.34</v>
      </c>
      <c r="E117" s="226">
        <f t="shared" si="82"/>
        <v>10470.69</v>
      </c>
      <c r="F117" s="225">
        <f t="shared" si="82"/>
        <v>0</v>
      </c>
      <c r="G117" s="225">
        <f t="shared" si="82"/>
        <v>8800</v>
      </c>
      <c r="H117" s="225">
        <f t="shared" si="82"/>
        <v>10470.69</v>
      </c>
      <c r="I117" s="233"/>
      <c r="P117" s="133"/>
      <c r="Q117" s="5"/>
      <c r="R117" s="5"/>
      <c r="S117" s="5"/>
      <c r="T117" s="5"/>
      <c r="U117" s="5"/>
      <c r="V117" s="5"/>
      <c r="W117" s="5"/>
    </row>
    <row r="118" spans="1:23" x14ac:dyDescent="0.25">
      <c r="A118" s="24">
        <v>63311</v>
      </c>
      <c r="B118" s="26" t="s">
        <v>729</v>
      </c>
      <c r="C118" s="220"/>
      <c r="D118" s="197">
        <v>4705.34</v>
      </c>
      <c r="E118" s="197">
        <v>10470.69</v>
      </c>
      <c r="G118" s="220">
        <v>8800</v>
      </c>
      <c r="H118" s="220">
        <v>10470.69</v>
      </c>
      <c r="I118" s="232"/>
      <c r="N118" s="154"/>
      <c r="P118" s="133"/>
      <c r="Q118" s="5"/>
      <c r="R118" s="5"/>
      <c r="S118" s="5"/>
      <c r="T118" s="5"/>
      <c r="U118" s="5"/>
      <c r="V118" s="5"/>
      <c r="W118" s="5"/>
    </row>
    <row r="119" spans="1:23" x14ac:dyDescent="0.25">
      <c r="A119" s="119">
        <v>64</v>
      </c>
      <c r="B119" s="219" t="s">
        <v>131</v>
      </c>
      <c r="C119" s="221">
        <f t="shared" ref="C119:H120" si="83">SUM(C120)</f>
        <v>0</v>
      </c>
      <c r="D119" s="222">
        <f t="shared" si="83"/>
        <v>0.02</v>
      </c>
      <c r="E119" s="222">
        <f t="shared" si="83"/>
        <v>0.39</v>
      </c>
      <c r="F119" s="221">
        <f t="shared" si="83"/>
        <v>0</v>
      </c>
      <c r="G119" s="221">
        <f t="shared" si="83"/>
        <v>0</v>
      </c>
      <c r="H119" s="221">
        <f t="shared" si="83"/>
        <v>0.39</v>
      </c>
      <c r="I119" s="233"/>
      <c r="P119" s="133"/>
      <c r="Q119" s="5"/>
      <c r="R119" s="5"/>
      <c r="S119" s="5"/>
      <c r="T119" s="5"/>
      <c r="U119" s="5"/>
      <c r="V119" s="5"/>
      <c r="W119" s="5"/>
    </row>
    <row r="120" spans="1:23" x14ac:dyDescent="0.25">
      <c r="A120" s="223">
        <v>641</v>
      </c>
      <c r="B120" s="227" t="s">
        <v>132</v>
      </c>
      <c r="C120" s="225">
        <f t="shared" si="83"/>
        <v>0</v>
      </c>
      <c r="D120" s="226">
        <f t="shared" si="83"/>
        <v>0.02</v>
      </c>
      <c r="E120" s="226">
        <f t="shared" si="83"/>
        <v>0.39</v>
      </c>
      <c r="F120" s="225">
        <f t="shared" si="83"/>
        <v>0</v>
      </c>
      <c r="G120" s="225">
        <f t="shared" si="83"/>
        <v>0</v>
      </c>
      <c r="H120" s="225">
        <f t="shared" si="83"/>
        <v>0.39</v>
      </c>
      <c r="I120" s="233"/>
      <c r="P120" s="133"/>
      <c r="Q120" s="5"/>
      <c r="R120" s="5"/>
      <c r="S120" s="5"/>
      <c r="T120" s="5"/>
      <c r="U120" s="5"/>
      <c r="V120" s="5"/>
      <c r="W120" s="5"/>
    </row>
    <row r="121" spans="1:23" x14ac:dyDescent="0.25">
      <c r="A121" s="24">
        <v>64132</v>
      </c>
      <c r="B121" s="26" t="s">
        <v>730</v>
      </c>
      <c r="C121" s="220"/>
      <c r="D121" s="197">
        <v>0.02</v>
      </c>
      <c r="E121" s="197">
        <v>0.39</v>
      </c>
      <c r="H121" s="220">
        <v>0.39</v>
      </c>
      <c r="I121" s="232"/>
      <c r="N121" s="154"/>
      <c r="P121" s="133"/>
      <c r="Q121" s="5"/>
      <c r="R121" s="5"/>
      <c r="S121" s="5"/>
      <c r="T121" s="5"/>
      <c r="U121" s="5"/>
      <c r="V121" s="5"/>
      <c r="W121" s="5"/>
    </row>
    <row r="122" spans="1:23" ht="31.5" x14ac:dyDescent="0.25">
      <c r="A122" s="119">
        <v>65</v>
      </c>
      <c r="B122" s="219" t="s">
        <v>135</v>
      </c>
      <c r="C122" s="221">
        <f t="shared" ref="C122:H123" si="84">SUM(C123)</f>
        <v>0</v>
      </c>
      <c r="D122" s="222">
        <f t="shared" si="84"/>
        <v>500.74</v>
      </c>
      <c r="E122" s="222">
        <f t="shared" si="84"/>
        <v>921.04</v>
      </c>
      <c r="F122" s="221">
        <f t="shared" si="84"/>
        <v>1000</v>
      </c>
      <c r="G122" s="221">
        <f t="shared" si="84"/>
        <v>1000</v>
      </c>
      <c r="H122" s="221">
        <f t="shared" si="84"/>
        <v>921.04</v>
      </c>
      <c r="I122" s="233"/>
      <c r="P122" s="133"/>
      <c r="Q122" s="5"/>
      <c r="R122" s="5"/>
      <c r="S122" s="5"/>
      <c r="T122" s="5"/>
      <c r="U122" s="5"/>
      <c r="V122" s="5"/>
      <c r="W122" s="5"/>
    </row>
    <row r="123" spans="1:23" x14ac:dyDescent="0.25">
      <c r="A123" s="223">
        <v>652</v>
      </c>
      <c r="B123" s="227" t="s">
        <v>137</v>
      </c>
      <c r="C123" s="225">
        <f t="shared" si="84"/>
        <v>0</v>
      </c>
      <c r="D123" s="226">
        <f t="shared" si="84"/>
        <v>500.74</v>
      </c>
      <c r="E123" s="226">
        <f t="shared" si="84"/>
        <v>921.04</v>
      </c>
      <c r="F123" s="225">
        <f t="shared" si="84"/>
        <v>1000</v>
      </c>
      <c r="G123" s="225">
        <f t="shared" si="84"/>
        <v>1000</v>
      </c>
      <c r="H123" s="225">
        <f t="shared" si="84"/>
        <v>921.04</v>
      </c>
      <c r="I123" s="233"/>
      <c r="P123" s="133"/>
      <c r="Q123" s="5"/>
      <c r="R123" s="5"/>
      <c r="S123" s="5"/>
      <c r="T123" s="5"/>
      <c r="U123" s="5"/>
      <c r="V123" s="5"/>
      <c r="W123" s="5"/>
    </row>
    <row r="124" spans="1:23" x14ac:dyDescent="0.25">
      <c r="A124" s="24">
        <v>65149</v>
      </c>
      <c r="B124" s="26" t="s">
        <v>924</v>
      </c>
      <c r="C124" s="220"/>
      <c r="D124" s="197">
        <v>500.74</v>
      </c>
      <c r="E124" s="197">
        <v>921.04</v>
      </c>
      <c r="F124" s="220">
        <v>1000</v>
      </c>
      <c r="G124" s="220">
        <v>1000</v>
      </c>
      <c r="H124" s="220">
        <v>921.04</v>
      </c>
      <c r="I124" s="232"/>
      <c r="N124" s="154"/>
      <c r="P124" s="133"/>
      <c r="Q124" s="5"/>
      <c r="R124" s="5"/>
      <c r="S124" s="5"/>
      <c r="T124" s="5"/>
      <c r="U124" s="5"/>
      <c r="V124" s="5"/>
      <c r="W124" s="5"/>
    </row>
    <row r="125" spans="1:23" ht="31.5" x14ac:dyDescent="0.25">
      <c r="A125" s="119">
        <v>66</v>
      </c>
      <c r="B125" s="219" t="s">
        <v>428</v>
      </c>
      <c r="C125" s="221">
        <f t="shared" ref="C125:H126" si="85">SUM(C126)</f>
        <v>0</v>
      </c>
      <c r="D125" s="222">
        <f t="shared" si="85"/>
        <v>0</v>
      </c>
      <c r="E125" s="222">
        <f t="shared" si="85"/>
        <v>0</v>
      </c>
      <c r="F125" s="221">
        <f t="shared" si="85"/>
        <v>500</v>
      </c>
      <c r="G125" s="221">
        <f t="shared" si="85"/>
        <v>0</v>
      </c>
      <c r="H125" s="221">
        <f t="shared" si="85"/>
        <v>0</v>
      </c>
      <c r="I125" s="233"/>
      <c r="P125" s="133"/>
      <c r="Q125" s="5"/>
      <c r="R125" s="5"/>
      <c r="S125" s="5"/>
      <c r="T125" s="5"/>
      <c r="U125" s="5"/>
      <c r="V125" s="5"/>
      <c r="W125" s="5"/>
    </row>
    <row r="126" spans="1:23" x14ac:dyDescent="0.25">
      <c r="A126" s="223">
        <v>661</v>
      </c>
      <c r="B126" s="227" t="s">
        <v>139</v>
      </c>
      <c r="C126" s="225">
        <f t="shared" si="85"/>
        <v>0</v>
      </c>
      <c r="D126" s="226">
        <f t="shared" si="85"/>
        <v>0</v>
      </c>
      <c r="E126" s="226">
        <f t="shared" si="85"/>
        <v>0</v>
      </c>
      <c r="F126" s="225">
        <f t="shared" si="85"/>
        <v>500</v>
      </c>
      <c r="G126" s="225">
        <f t="shared" si="85"/>
        <v>0</v>
      </c>
      <c r="H126" s="225">
        <f t="shared" si="85"/>
        <v>0</v>
      </c>
      <c r="I126" s="233"/>
      <c r="P126" s="133"/>
      <c r="Q126" s="5"/>
      <c r="R126" s="5"/>
      <c r="S126" s="5"/>
      <c r="T126" s="5"/>
      <c r="U126" s="5"/>
      <c r="V126" s="5"/>
      <c r="W126" s="5"/>
    </row>
    <row r="127" spans="1:23" x14ac:dyDescent="0.25">
      <c r="A127" s="24">
        <v>66151</v>
      </c>
      <c r="B127" s="26" t="s">
        <v>48</v>
      </c>
      <c r="C127" s="220"/>
      <c r="F127" s="220">
        <v>500</v>
      </c>
      <c r="I127" s="232"/>
      <c r="N127" s="154"/>
      <c r="P127" s="133"/>
      <c r="Q127" s="5"/>
      <c r="R127" s="5"/>
      <c r="S127" s="5"/>
      <c r="T127" s="5"/>
      <c r="U127" s="5"/>
      <c r="V127" s="5"/>
      <c r="W127" s="5"/>
    </row>
    <row r="128" spans="1:23" x14ac:dyDescent="0.25">
      <c r="A128" s="119">
        <v>68</v>
      </c>
      <c r="B128" s="228" t="s">
        <v>726</v>
      </c>
      <c r="C128" s="221">
        <f t="shared" ref="C128:H128" si="86">SUM(C129)</f>
        <v>0</v>
      </c>
      <c r="D128" s="222">
        <f t="shared" si="86"/>
        <v>0</v>
      </c>
      <c r="E128" s="222">
        <f t="shared" si="86"/>
        <v>0</v>
      </c>
      <c r="F128" s="221">
        <f t="shared" si="86"/>
        <v>0</v>
      </c>
      <c r="G128" s="221">
        <f t="shared" si="86"/>
        <v>0</v>
      </c>
      <c r="H128" s="221">
        <f t="shared" si="86"/>
        <v>0</v>
      </c>
      <c r="I128" s="233"/>
      <c r="P128" s="133"/>
      <c r="Q128" s="5"/>
      <c r="R128" s="5"/>
      <c r="S128" s="5"/>
      <c r="T128" s="5"/>
      <c r="U128" s="5"/>
      <c r="V128" s="5"/>
      <c r="W128" s="5"/>
    </row>
    <row r="129" spans="1:23" x14ac:dyDescent="0.25">
      <c r="A129" s="24">
        <v>68311</v>
      </c>
      <c r="B129" s="26" t="s">
        <v>727</v>
      </c>
      <c r="C129" s="220"/>
      <c r="I129" s="232"/>
      <c r="P129" s="133"/>
      <c r="Q129" s="5"/>
      <c r="R129" s="5"/>
      <c r="S129" s="5"/>
      <c r="T129" s="5"/>
      <c r="U129" s="5"/>
      <c r="V129" s="5"/>
      <c r="W129" s="5"/>
    </row>
    <row r="130" spans="1:23" x14ac:dyDescent="0.25">
      <c r="A130" s="7">
        <v>9</v>
      </c>
      <c r="B130" s="229" t="s">
        <v>106</v>
      </c>
      <c r="C130" s="230">
        <f t="shared" ref="C130:H130" si="87">SUM(C131)</f>
        <v>0</v>
      </c>
      <c r="D130" s="199">
        <f t="shared" si="87"/>
        <v>1383.73</v>
      </c>
      <c r="E130" s="199">
        <f t="shared" si="87"/>
        <v>1391.81</v>
      </c>
      <c r="F130" s="230">
        <f t="shared" si="87"/>
        <v>0</v>
      </c>
      <c r="G130" s="230">
        <f t="shared" si="87"/>
        <v>1400</v>
      </c>
      <c r="H130" s="230">
        <f t="shared" si="87"/>
        <v>1391.81</v>
      </c>
      <c r="I130" s="232"/>
      <c r="N130" s="154"/>
      <c r="P130" s="133"/>
      <c r="Q130" s="5"/>
      <c r="R130" s="5"/>
      <c r="S130" s="5"/>
      <c r="T130" s="5"/>
      <c r="U130" s="5"/>
      <c r="V130" s="5"/>
      <c r="W130" s="5"/>
    </row>
    <row r="131" spans="1:23" x14ac:dyDescent="0.25">
      <c r="A131" s="24">
        <v>922</v>
      </c>
      <c r="B131" s="16" t="s">
        <v>925</v>
      </c>
      <c r="C131" s="220"/>
      <c r="D131" s="197">
        <v>1383.73</v>
      </c>
      <c r="E131" s="197">
        <v>1391.81</v>
      </c>
      <c r="G131" s="220">
        <v>1400</v>
      </c>
      <c r="H131" s="220">
        <v>1391.81</v>
      </c>
      <c r="I131" s="232"/>
      <c r="P131" s="133"/>
      <c r="Q131" s="5"/>
      <c r="R131" s="5"/>
      <c r="S131" s="5"/>
      <c r="T131" s="5"/>
      <c r="U131" s="5"/>
      <c r="V131" s="5"/>
      <c r="W131" s="5"/>
    </row>
    <row r="132" spans="1:23" x14ac:dyDescent="0.25">
      <c r="C132" s="220"/>
      <c r="I132" s="232"/>
      <c r="P132" s="133"/>
      <c r="Q132" s="5"/>
      <c r="R132" s="5"/>
      <c r="S132" s="5"/>
      <c r="T132" s="5"/>
      <c r="U132" s="5"/>
      <c r="V132" s="5"/>
      <c r="W132" s="5"/>
    </row>
    <row r="133" spans="1:23" x14ac:dyDescent="0.25">
      <c r="I133" s="231"/>
      <c r="P133" s="133"/>
      <c r="Q133" s="5"/>
      <c r="R133" s="5"/>
      <c r="S133" s="5"/>
      <c r="T133" s="5"/>
      <c r="U133" s="5"/>
      <c r="V133" s="5"/>
      <c r="W133" s="5"/>
    </row>
    <row r="134" spans="1:23" x14ac:dyDescent="0.25">
      <c r="I134" s="231"/>
      <c r="P134" s="133"/>
      <c r="Q134" s="5"/>
      <c r="R134" s="5"/>
      <c r="S134" s="5"/>
      <c r="T134" s="5"/>
      <c r="U134" s="5"/>
      <c r="V134" s="5"/>
      <c r="W134" s="5"/>
    </row>
    <row r="135" spans="1:23" x14ac:dyDescent="0.25">
      <c r="P135" s="133"/>
      <c r="Q135" s="5"/>
      <c r="R135" s="5"/>
      <c r="S135" s="5"/>
      <c r="T135" s="5"/>
      <c r="U135" s="5"/>
      <c r="V135" s="5"/>
      <c r="W135" s="5"/>
    </row>
    <row r="136" spans="1:23" x14ac:dyDescent="0.25">
      <c r="P136" s="133"/>
      <c r="Q136" s="5"/>
      <c r="R136" s="5"/>
      <c r="S136" s="5"/>
      <c r="T136" s="5"/>
      <c r="U136" s="5"/>
      <c r="V136" s="5"/>
      <c r="W136" s="5"/>
    </row>
    <row r="137" spans="1:23" x14ac:dyDescent="0.25">
      <c r="P137" s="133"/>
      <c r="Q137" s="5"/>
      <c r="R137" s="5"/>
      <c r="S137" s="5"/>
      <c r="T137" s="5"/>
      <c r="U137" s="5"/>
      <c r="V137" s="5"/>
      <c r="W137" s="5"/>
    </row>
    <row r="138" spans="1:23" x14ac:dyDescent="0.25">
      <c r="P138" s="133"/>
      <c r="Q138" s="5"/>
      <c r="R138" s="5"/>
      <c r="S138" s="5"/>
      <c r="T138" s="5"/>
      <c r="U138" s="5"/>
      <c r="V138" s="5"/>
      <c r="W138" s="5"/>
    </row>
    <row r="139" spans="1:23" x14ac:dyDescent="0.25">
      <c r="P139" s="133"/>
      <c r="Q139" s="5"/>
      <c r="R139" s="5"/>
      <c r="S139" s="5"/>
      <c r="T139" s="5"/>
      <c r="U139" s="5"/>
      <c r="V139" s="5"/>
      <c r="W139" s="5"/>
    </row>
    <row r="140" spans="1:23" x14ac:dyDescent="0.25">
      <c r="P140" s="133"/>
      <c r="Q140" s="5"/>
      <c r="R140" s="5"/>
      <c r="S140" s="5"/>
      <c r="T140" s="5"/>
      <c r="U140" s="5"/>
      <c r="V140" s="5"/>
      <c r="W140" s="5"/>
    </row>
    <row r="141" spans="1:23" x14ac:dyDescent="0.25">
      <c r="P141" s="133"/>
      <c r="Q141" s="5"/>
      <c r="R141" s="5"/>
      <c r="S141" s="5"/>
      <c r="T141" s="5"/>
      <c r="U141" s="5"/>
      <c r="V141" s="5"/>
      <c r="W141" s="5"/>
    </row>
    <row r="142" spans="1:23" x14ac:dyDescent="0.25">
      <c r="P142" s="133"/>
      <c r="Q142" s="5"/>
      <c r="R142" s="5"/>
      <c r="S142" s="5"/>
      <c r="T142" s="5"/>
      <c r="U142" s="5"/>
      <c r="V142" s="5"/>
      <c r="W142" s="5"/>
    </row>
    <row r="143" spans="1:23" x14ac:dyDescent="0.25">
      <c r="P143" s="133"/>
      <c r="Q143" s="5"/>
      <c r="R143" s="5"/>
      <c r="S143" s="5"/>
      <c r="T143" s="5"/>
      <c r="U143" s="5"/>
      <c r="V143" s="5"/>
      <c r="W143" s="5"/>
    </row>
    <row r="144" spans="1:23" x14ac:dyDescent="0.25">
      <c r="P144" s="133"/>
      <c r="Q144" s="5"/>
      <c r="R144" s="5"/>
      <c r="S144" s="5"/>
      <c r="T144" s="5"/>
      <c r="U144" s="5"/>
      <c r="V144" s="5"/>
      <c r="W144" s="5"/>
    </row>
    <row r="145" spans="16:23" x14ac:dyDescent="0.25">
      <c r="P145" s="133"/>
      <c r="Q145" s="5"/>
      <c r="R145" s="5"/>
      <c r="S145" s="5"/>
      <c r="T145" s="5"/>
      <c r="U145" s="5"/>
      <c r="V145" s="5"/>
      <c r="W145" s="5"/>
    </row>
    <row r="146" spans="16:23" x14ac:dyDescent="0.25">
      <c r="P146" s="133"/>
      <c r="Q146" s="5"/>
      <c r="R146" s="5"/>
      <c r="S146" s="5"/>
      <c r="T146" s="5"/>
      <c r="U146" s="5"/>
      <c r="V146" s="5"/>
      <c r="W146" s="5"/>
    </row>
    <row r="147" spans="16:23" x14ac:dyDescent="0.25">
      <c r="P147" s="133"/>
      <c r="Q147" s="5"/>
      <c r="R147" s="5"/>
      <c r="S147" s="5"/>
      <c r="T147" s="5"/>
      <c r="U147" s="5"/>
      <c r="V147" s="5"/>
      <c r="W147" s="5"/>
    </row>
    <row r="148" spans="16:23" x14ac:dyDescent="0.25">
      <c r="P148" s="133"/>
      <c r="Q148" s="5"/>
      <c r="R148" s="5"/>
      <c r="S148" s="5"/>
      <c r="T148" s="5"/>
      <c r="U148" s="5"/>
      <c r="V148" s="5"/>
      <c r="W148" s="5"/>
    </row>
    <row r="149" spans="16:23" x14ac:dyDescent="0.25">
      <c r="P149" s="133"/>
      <c r="Q149" s="5"/>
      <c r="R149" s="5"/>
      <c r="S149" s="5"/>
      <c r="T149" s="5"/>
      <c r="U149" s="5"/>
      <c r="V149" s="5"/>
      <c r="W149" s="5"/>
    </row>
    <row r="150" spans="16:23" x14ac:dyDescent="0.25">
      <c r="P150" s="133"/>
      <c r="Q150" s="5"/>
      <c r="R150" s="5"/>
      <c r="S150" s="5"/>
      <c r="T150" s="5"/>
      <c r="U150" s="5"/>
      <c r="V150" s="5"/>
      <c r="W150" s="5"/>
    </row>
    <row r="151" spans="16:23" x14ac:dyDescent="0.25">
      <c r="P151" s="133"/>
      <c r="Q151" s="5"/>
      <c r="R151" s="5"/>
      <c r="S151" s="5"/>
      <c r="T151" s="5"/>
      <c r="U151" s="5"/>
      <c r="V151" s="5"/>
      <c r="W151" s="5"/>
    </row>
    <row r="152" spans="16:23" x14ac:dyDescent="0.25">
      <c r="P152" s="133"/>
      <c r="Q152" s="5"/>
      <c r="R152" s="5"/>
      <c r="S152" s="5"/>
      <c r="T152" s="5"/>
      <c r="U152" s="5"/>
      <c r="V152" s="5"/>
      <c r="W152" s="5"/>
    </row>
    <row r="153" spans="16:23" x14ac:dyDescent="0.25">
      <c r="P153" s="133"/>
      <c r="Q153" s="5"/>
      <c r="R153" s="5"/>
      <c r="S153" s="5"/>
      <c r="T153" s="5"/>
      <c r="U153" s="5"/>
      <c r="V153" s="5"/>
      <c r="W153" s="5"/>
    </row>
    <row r="154" spans="16:23" x14ac:dyDescent="0.25">
      <c r="P154" s="133"/>
      <c r="Q154" s="5"/>
      <c r="R154" s="5"/>
      <c r="S154" s="5"/>
      <c r="T154" s="5"/>
      <c r="U154" s="5"/>
      <c r="V154" s="5"/>
      <c r="W154" s="5"/>
    </row>
    <row r="155" spans="16:23" x14ac:dyDescent="0.25">
      <c r="P155" s="133"/>
      <c r="Q155" s="5"/>
      <c r="R155" s="5"/>
      <c r="S155" s="5"/>
      <c r="T155" s="5"/>
      <c r="U155" s="5"/>
      <c r="V155" s="5"/>
      <c r="W155" s="5"/>
    </row>
    <row r="156" spans="16:23" x14ac:dyDescent="0.25">
      <c r="P156" s="133"/>
      <c r="Q156" s="5"/>
      <c r="R156" s="5"/>
      <c r="S156" s="5"/>
      <c r="T156" s="5"/>
      <c r="U156" s="5"/>
      <c r="V156" s="5"/>
      <c r="W156" s="5"/>
    </row>
    <row r="157" spans="16:23" x14ac:dyDescent="0.25">
      <c r="P157" s="133"/>
      <c r="Q157" s="5"/>
      <c r="R157" s="5"/>
      <c r="S157" s="5"/>
      <c r="T157" s="5"/>
      <c r="U157" s="5"/>
      <c r="V157" s="5"/>
      <c r="W157" s="5"/>
    </row>
    <row r="158" spans="16:23" x14ac:dyDescent="0.25">
      <c r="P158" s="133"/>
      <c r="Q158" s="5"/>
      <c r="R158" s="5"/>
      <c r="S158" s="5"/>
      <c r="T158" s="5"/>
      <c r="U158" s="5"/>
      <c r="V158" s="5"/>
      <c r="W158" s="5"/>
    </row>
    <row r="159" spans="16:23" x14ac:dyDescent="0.25">
      <c r="P159" s="133"/>
      <c r="Q159" s="5"/>
      <c r="R159" s="5"/>
      <c r="S159" s="5"/>
      <c r="T159" s="5"/>
      <c r="U159" s="5"/>
      <c r="V159" s="5"/>
      <c r="W159" s="5"/>
    </row>
    <row r="160" spans="16:23" x14ac:dyDescent="0.25">
      <c r="P160" s="133"/>
      <c r="Q160" s="5"/>
      <c r="R160" s="5"/>
      <c r="S160" s="5"/>
      <c r="T160" s="5"/>
      <c r="U160" s="5"/>
      <c r="V160" s="5"/>
      <c r="W160" s="5"/>
    </row>
    <row r="161" spans="16:23" x14ac:dyDescent="0.25">
      <c r="P161" s="133"/>
      <c r="Q161" s="5"/>
      <c r="R161" s="5"/>
      <c r="S161" s="5"/>
      <c r="T161" s="5"/>
      <c r="U161" s="5"/>
      <c r="V161" s="5"/>
      <c r="W161" s="5"/>
    </row>
    <row r="162" spans="16:23" x14ac:dyDescent="0.25">
      <c r="P162" s="133"/>
      <c r="Q162" s="5"/>
      <c r="R162" s="5"/>
      <c r="S162" s="5"/>
      <c r="T162" s="5"/>
      <c r="U162" s="5"/>
      <c r="V162" s="5"/>
      <c r="W162" s="5"/>
    </row>
    <row r="163" spans="16:23" x14ac:dyDescent="0.25">
      <c r="P163" s="133"/>
      <c r="Q163" s="5"/>
      <c r="R163" s="5"/>
      <c r="S163" s="5"/>
      <c r="T163" s="5"/>
      <c r="U163" s="5"/>
      <c r="V163" s="5"/>
      <c r="W163" s="5"/>
    </row>
    <row r="164" spans="16:23" x14ac:dyDescent="0.25">
      <c r="P164" s="133"/>
      <c r="Q164" s="5"/>
      <c r="R164" s="5"/>
      <c r="S164" s="5"/>
      <c r="T164" s="5"/>
      <c r="U164" s="5"/>
      <c r="V164" s="5"/>
      <c r="W164" s="5"/>
    </row>
    <row r="165" spans="16:23" x14ac:dyDescent="0.25">
      <c r="P165" s="133"/>
      <c r="Q165" s="5"/>
      <c r="R165" s="5"/>
      <c r="S165" s="5"/>
      <c r="T165" s="5"/>
      <c r="U165" s="5"/>
      <c r="V165" s="5"/>
      <c r="W165" s="5"/>
    </row>
    <row r="166" spans="16:23" x14ac:dyDescent="0.25">
      <c r="P166" s="133"/>
      <c r="Q166" s="5"/>
      <c r="R166" s="5"/>
      <c r="S166" s="5"/>
      <c r="T166" s="5"/>
      <c r="U166" s="5"/>
      <c r="V166" s="5"/>
      <c r="W166" s="5"/>
    </row>
    <row r="167" spans="16:23" x14ac:dyDescent="0.25">
      <c r="P167" s="133"/>
      <c r="Q167" s="5"/>
      <c r="R167" s="5"/>
      <c r="S167" s="5"/>
      <c r="T167" s="5"/>
      <c r="U167" s="5"/>
      <c r="V167" s="5"/>
      <c r="W167" s="5"/>
    </row>
    <row r="168" spans="16:23" x14ac:dyDescent="0.25">
      <c r="P168" s="133"/>
      <c r="Q168" s="5"/>
      <c r="R168" s="5"/>
      <c r="S168" s="5"/>
      <c r="T168" s="5"/>
      <c r="U168" s="5"/>
      <c r="V168" s="5"/>
      <c r="W168" s="5"/>
    </row>
    <row r="169" spans="16:23" x14ac:dyDescent="0.25">
      <c r="P169" s="133"/>
      <c r="Q169" s="5"/>
      <c r="R169" s="5"/>
      <c r="S169" s="5"/>
      <c r="T169" s="5"/>
      <c r="U169" s="5"/>
      <c r="V169" s="5"/>
      <c r="W169" s="5"/>
    </row>
    <row r="170" spans="16:23" x14ac:dyDescent="0.25">
      <c r="P170" s="133"/>
      <c r="Q170" s="5"/>
      <c r="R170" s="5"/>
      <c r="S170" s="5"/>
      <c r="T170" s="5"/>
      <c r="U170" s="5"/>
      <c r="V170" s="5"/>
      <c r="W170" s="5"/>
    </row>
    <row r="171" spans="16:23" x14ac:dyDescent="0.25">
      <c r="P171" s="133"/>
      <c r="Q171" s="5"/>
      <c r="R171" s="5"/>
      <c r="S171" s="5"/>
      <c r="T171" s="5"/>
      <c r="U171" s="5"/>
      <c r="V171" s="5"/>
      <c r="W171" s="5"/>
    </row>
    <row r="172" spans="16:23" x14ac:dyDescent="0.25">
      <c r="P172" s="133"/>
      <c r="Q172" s="5"/>
      <c r="R172" s="5"/>
      <c r="S172" s="5"/>
      <c r="T172" s="5"/>
      <c r="U172" s="5"/>
      <c r="V172" s="5"/>
      <c r="W172" s="5"/>
    </row>
    <row r="173" spans="16:23" x14ac:dyDescent="0.25">
      <c r="P173" s="133"/>
      <c r="Q173" s="5"/>
      <c r="R173" s="5"/>
      <c r="S173" s="5"/>
      <c r="T173" s="5"/>
      <c r="U173" s="5"/>
      <c r="V173" s="5"/>
      <c r="W173" s="5"/>
    </row>
    <row r="174" spans="16:23" x14ac:dyDescent="0.25">
      <c r="P174" s="133"/>
      <c r="Q174" s="5"/>
      <c r="R174" s="5"/>
      <c r="S174" s="5"/>
      <c r="T174" s="5"/>
      <c r="U174" s="5"/>
      <c r="V174" s="5"/>
      <c r="W174" s="5"/>
    </row>
    <row r="175" spans="16:23" x14ac:dyDescent="0.25">
      <c r="P175" s="133"/>
      <c r="Q175" s="5"/>
      <c r="R175" s="5"/>
      <c r="S175" s="5"/>
      <c r="T175" s="5"/>
      <c r="U175" s="5"/>
      <c r="V175" s="5"/>
      <c r="W175" s="5"/>
    </row>
    <row r="176" spans="16:23" x14ac:dyDescent="0.25">
      <c r="P176" s="133"/>
      <c r="Q176" s="5"/>
      <c r="R176" s="5"/>
      <c r="S176" s="5"/>
      <c r="T176" s="5"/>
      <c r="U176" s="5"/>
      <c r="V176" s="5"/>
      <c r="W176" s="5"/>
    </row>
    <row r="177" spans="16:23" x14ac:dyDescent="0.25">
      <c r="P177" s="133"/>
      <c r="Q177" s="5"/>
      <c r="R177" s="5"/>
      <c r="S177" s="5"/>
      <c r="T177" s="5"/>
      <c r="U177" s="5"/>
      <c r="V177" s="5"/>
      <c r="W177" s="5"/>
    </row>
    <row r="178" spans="16:23" x14ac:dyDescent="0.25">
      <c r="P178" s="133"/>
      <c r="Q178" s="5"/>
      <c r="R178" s="5"/>
      <c r="S178" s="5"/>
      <c r="T178" s="5"/>
      <c r="U178" s="5"/>
      <c r="V178" s="5"/>
      <c r="W178" s="5"/>
    </row>
    <row r="179" spans="16:23" x14ac:dyDescent="0.25">
      <c r="P179" s="133"/>
      <c r="Q179" s="5"/>
      <c r="R179" s="5"/>
      <c r="S179" s="5"/>
      <c r="T179" s="5"/>
      <c r="U179" s="5"/>
      <c r="V179" s="5"/>
      <c r="W179" s="5"/>
    </row>
    <row r="180" spans="16:23" x14ac:dyDescent="0.25">
      <c r="P180" s="133"/>
      <c r="Q180" s="5"/>
      <c r="R180" s="5"/>
      <c r="S180" s="5"/>
      <c r="T180" s="5"/>
      <c r="U180" s="5"/>
      <c r="V180" s="5"/>
      <c r="W180" s="5"/>
    </row>
    <row r="181" spans="16:23" x14ac:dyDescent="0.25">
      <c r="P181" s="133"/>
      <c r="Q181" s="5"/>
      <c r="R181" s="5"/>
      <c r="S181" s="5"/>
      <c r="T181" s="5"/>
      <c r="U181" s="5"/>
      <c r="V181" s="5"/>
      <c r="W181" s="5"/>
    </row>
    <row r="182" spans="16:23" x14ac:dyDescent="0.25">
      <c r="P182" s="133"/>
      <c r="Q182" s="5"/>
      <c r="R182" s="5"/>
      <c r="S182" s="5"/>
      <c r="T182" s="5"/>
      <c r="U182" s="5"/>
      <c r="V182" s="5"/>
      <c r="W182" s="5"/>
    </row>
    <row r="183" spans="16:23" x14ac:dyDescent="0.25">
      <c r="P183" s="133"/>
      <c r="Q183" s="5"/>
      <c r="R183" s="5"/>
      <c r="S183" s="5"/>
      <c r="T183" s="5"/>
      <c r="U183" s="5"/>
      <c r="V183" s="5"/>
      <c r="W183" s="5"/>
    </row>
    <row r="184" spans="16:23" x14ac:dyDescent="0.25">
      <c r="P184" s="133"/>
      <c r="Q184" s="5"/>
      <c r="R184" s="5"/>
      <c r="S184" s="5"/>
      <c r="T184" s="5"/>
      <c r="U184" s="5"/>
      <c r="V184" s="5"/>
      <c r="W184" s="5"/>
    </row>
    <row r="185" spans="16:23" x14ac:dyDescent="0.25">
      <c r="P185" s="133"/>
      <c r="Q185" s="5"/>
      <c r="R185" s="5"/>
      <c r="S185" s="5"/>
      <c r="T185" s="5"/>
      <c r="U185" s="5"/>
      <c r="V185" s="5"/>
      <c r="W185" s="5"/>
    </row>
    <row r="186" spans="16:23" x14ac:dyDescent="0.25">
      <c r="P186" s="133"/>
      <c r="Q186" s="5"/>
      <c r="R186" s="5"/>
      <c r="S186" s="5"/>
      <c r="T186" s="5"/>
      <c r="U186" s="5"/>
      <c r="V186" s="5"/>
      <c r="W186" s="5"/>
    </row>
    <row r="187" spans="16:23" x14ac:dyDescent="0.25">
      <c r="P187" s="133"/>
      <c r="Q187" s="5"/>
      <c r="R187" s="5"/>
      <c r="S187" s="5"/>
      <c r="T187" s="5"/>
      <c r="U187" s="5"/>
      <c r="V187" s="5"/>
      <c r="W187" s="5"/>
    </row>
    <row r="188" spans="16:23" x14ac:dyDescent="0.25">
      <c r="P188" s="133"/>
      <c r="Q188" s="5"/>
      <c r="R188" s="5"/>
      <c r="S188" s="5"/>
      <c r="T188" s="5"/>
      <c r="U188" s="5"/>
      <c r="V188" s="5"/>
      <c r="W188" s="5"/>
    </row>
    <row r="189" spans="16:23" x14ac:dyDescent="0.25">
      <c r="P189" s="133"/>
      <c r="Q189" s="5"/>
      <c r="R189" s="5"/>
      <c r="S189" s="5"/>
      <c r="T189" s="5"/>
      <c r="U189" s="5"/>
      <c r="V189" s="5"/>
      <c r="W189" s="5"/>
    </row>
    <row r="190" spans="16:23" x14ac:dyDescent="0.25">
      <c r="P190" s="133"/>
      <c r="Q190" s="5"/>
      <c r="R190" s="5"/>
      <c r="S190" s="5"/>
      <c r="T190" s="5"/>
      <c r="U190" s="5"/>
      <c r="V190" s="5"/>
      <c r="W190" s="5"/>
    </row>
    <row r="191" spans="16:23" x14ac:dyDescent="0.25">
      <c r="P191" s="133"/>
      <c r="Q191" s="5"/>
      <c r="R191" s="5"/>
      <c r="S191" s="5"/>
      <c r="T191" s="5"/>
      <c r="U191" s="5"/>
      <c r="V191" s="5"/>
      <c r="W191" s="5"/>
    </row>
    <row r="192" spans="16:23" x14ac:dyDescent="0.25">
      <c r="P192" s="133"/>
      <c r="Q192" s="5"/>
      <c r="R192" s="5"/>
      <c r="S192" s="5"/>
      <c r="T192" s="5"/>
      <c r="U192" s="5"/>
      <c r="V192" s="5"/>
      <c r="W192" s="5"/>
    </row>
    <row r="193" spans="16:23" x14ac:dyDescent="0.25">
      <c r="P193" s="133"/>
      <c r="Q193" s="5"/>
      <c r="R193" s="5"/>
      <c r="S193" s="5"/>
      <c r="T193" s="5"/>
      <c r="U193" s="5"/>
      <c r="V193" s="5"/>
      <c r="W193" s="5"/>
    </row>
    <row r="194" spans="16:23" x14ac:dyDescent="0.25">
      <c r="P194" s="133"/>
      <c r="Q194" s="5"/>
      <c r="R194" s="5"/>
      <c r="S194" s="5"/>
      <c r="T194" s="5"/>
      <c r="U194" s="5"/>
      <c r="V194" s="5"/>
      <c r="W194" s="5"/>
    </row>
    <row r="195" spans="16:23" x14ac:dyDescent="0.25">
      <c r="P195" s="133"/>
      <c r="Q195" s="5"/>
      <c r="R195" s="5"/>
      <c r="S195" s="5"/>
      <c r="T195" s="5"/>
      <c r="U195" s="5"/>
      <c r="V195" s="5"/>
      <c r="W195" s="5"/>
    </row>
    <row r="196" spans="16:23" x14ac:dyDescent="0.25">
      <c r="P196" s="133"/>
      <c r="Q196" s="5"/>
      <c r="R196" s="5"/>
      <c r="S196" s="5"/>
      <c r="T196" s="5"/>
      <c r="U196" s="5"/>
      <c r="V196" s="5"/>
      <c r="W196" s="5"/>
    </row>
    <row r="197" spans="16:23" x14ac:dyDescent="0.25">
      <c r="P197" s="133"/>
      <c r="Q197" s="5"/>
      <c r="R197" s="5"/>
      <c r="S197" s="5"/>
      <c r="T197" s="5"/>
      <c r="U197" s="5"/>
      <c r="V197" s="5"/>
      <c r="W197" s="5"/>
    </row>
    <row r="198" spans="16:23" x14ac:dyDescent="0.25">
      <c r="P198" s="133"/>
      <c r="Q198" s="5"/>
      <c r="R198" s="5"/>
      <c r="S198" s="5"/>
      <c r="T198" s="5"/>
      <c r="U198" s="5"/>
      <c r="V198" s="5"/>
      <c r="W198" s="5"/>
    </row>
    <row r="199" spans="16:23" x14ac:dyDescent="0.25">
      <c r="P199" s="133"/>
      <c r="Q199" s="5"/>
      <c r="R199" s="5"/>
      <c r="S199" s="5"/>
      <c r="T199" s="5"/>
      <c r="U199" s="5"/>
      <c r="V199" s="5"/>
      <c r="W199" s="5"/>
    </row>
    <row r="200" spans="16:23" x14ac:dyDescent="0.25">
      <c r="P200" s="133"/>
      <c r="Q200" s="5"/>
      <c r="R200" s="5"/>
      <c r="S200" s="5"/>
      <c r="T200" s="5"/>
      <c r="U200" s="5"/>
      <c r="V200" s="5"/>
      <c r="W200" s="5"/>
    </row>
    <row r="201" spans="16:23" x14ac:dyDescent="0.25">
      <c r="P201" s="133"/>
      <c r="Q201" s="5"/>
      <c r="R201" s="5"/>
      <c r="S201" s="5"/>
      <c r="T201" s="5"/>
      <c r="U201" s="5"/>
      <c r="V201" s="5"/>
      <c r="W201" s="5"/>
    </row>
    <row r="202" spans="16:23" x14ac:dyDescent="0.25">
      <c r="P202" s="133"/>
      <c r="Q202" s="5"/>
      <c r="R202" s="5"/>
      <c r="S202" s="5"/>
      <c r="T202" s="5"/>
      <c r="U202" s="5"/>
      <c r="V202" s="5"/>
      <c r="W202" s="5"/>
    </row>
    <row r="203" spans="16:23" x14ac:dyDescent="0.25">
      <c r="P203" s="133"/>
      <c r="Q203" s="5"/>
      <c r="R203" s="5"/>
      <c r="S203" s="5"/>
      <c r="T203" s="5"/>
      <c r="U203" s="5"/>
      <c r="V203" s="5"/>
      <c r="W203" s="5"/>
    </row>
    <row r="204" spans="16:23" x14ac:dyDescent="0.25">
      <c r="P204" s="133"/>
      <c r="Q204" s="5"/>
      <c r="R204" s="5"/>
      <c r="S204" s="5"/>
      <c r="T204" s="5"/>
      <c r="U204" s="5"/>
      <c r="V204" s="5"/>
      <c r="W204" s="5"/>
    </row>
    <row r="205" spans="16:23" x14ac:dyDescent="0.25">
      <c r="P205" s="133"/>
      <c r="Q205" s="5"/>
      <c r="R205" s="5"/>
      <c r="S205" s="5"/>
      <c r="T205" s="5"/>
      <c r="U205" s="5"/>
      <c r="V205" s="5"/>
      <c r="W205" s="5"/>
    </row>
    <row r="206" spans="16:23" x14ac:dyDescent="0.25">
      <c r="P206" s="133"/>
      <c r="Q206" s="5"/>
      <c r="R206" s="5"/>
      <c r="S206" s="5"/>
      <c r="T206" s="5"/>
      <c r="U206" s="5"/>
      <c r="V206" s="5"/>
      <c r="W206" s="5"/>
    </row>
    <row r="207" spans="16:23" x14ac:dyDescent="0.25">
      <c r="P207" s="133"/>
      <c r="Q207" s="5"/>
      <c r="R207" s="5"/>
      <c r="S207" s="5"/>
      <c r="T207" s="5"/>
      <c r="U207" s="5"/>
      <c r="V207" s="5"/>
      <c r="W207" s="5"/>
    </row>
    <row r="208" spans="16:23" x14ac:dyDescent="0.25">
      <c r="P208" s="133"/>
      <c r="Q208" s="5"/>
      <c r="R208" s="5"/>
      <c r="S208" s="5"/>
      <c r="T208" s="5"/>
      <c r="U208" s="5"/>
      <c r="V208" s="5"/>
      <c r="W208" s="5"/>
    </row>
    <row r="209" spans="16:23" x14ac:dyDescent="0.25">
      <c r="P209" s="133"/>
      <c r="Q209" s="5"/>
      <c r="R209" s="5"/>
      <c r="S209" s="5"/>
      <c r="T209" s="5"/>
      <c r="U209" s="5"/>
      <c r="V209" s="5"/>
      <c r="W209" s="5"/>
    </row>
    <row r="210" spans="16:23" x14ac:dyDescent="0.25">
      <c r="P210" s="133"/>
      <c r="Q210" s="5"/>
      <c r="R210" s="5"/>
      <c r="S210" s="5"/>
      <c r="T210" s="5"/>
      <c r="U210" s="5"/>
      <c r="V210" s="5"/>
      <c r="W210" s="5"/>
    </row>
    <row r="211" spans="16:23" x14ac:dyDescent="0.25">
      <c r="P211" s="133"/>
      <c r="Q211" s="5"/>
      <c r="R211" s="5"/>
      <c r="S211" s="5"/>
      <c r="T211" s="5"/>
      <c r="U211" s="5"/>
      <c r="V211" s="5"/>
      <c r="W211" s="5"/>
    </row>
    <row r="212" spans="16:23" x14ac:dyDescent="0.25">
      <c r="P212" s="133"/>
      <c r="Q212" s="5"/>
      <c r="R212" s="5"/>
      <c r="S212" s="5"/>
      <c r="T212" s="5"/>
      <c r="U212" s="5"/>
      <c r="V212" s="5"/>
      <c r="W212" s="5"/>
    </row>
    <row r="213" spans="16:23" x14ac:dyDescent="0.25">
      <c r="P213" s="133"/>
      <c r="Q213" s="5"/>
      <c r="R213" s="5"/>
      <c r="S213" s="5"/>
      <c r="T213" s="5"/>
      <c r="U213" s="5"/>
      <c r="V213" s="5"/>
      <c r="W213" s="5"/>
    </row>
    <row r="214" spans="16:23" x14ac:dyDescent="0.25">
      <c r="P214" s="133"/>
      <c r="Q214" s="5"/>
      <c r="R214" s="5"/>
      <c r="S214" s="5"/>
      <c r="T214" s="5"/>
      <c r="U214" s="5"/>
      <c r="V214" s="5"/>
      <c r="W214" s="5"/>
    </row>
    <row r="215" spans="16:23" x14ac:dyDescent="0.25">
      <c r="P215" s="133"/>
      <c r="Q215" s="5"/>
      <c r="R215" s="5"/>
      <c r="S215" s="5"/>
      <c r="T215" s="5"/>
      <c r="U215" s="5"/>
      <c r="V215" s="5"/>
      <c r="W215" s="5"/>
    </row>
    <row r="216" spans="16:23" x14ac:dyDescent="0.25">
      <c r="P216" s="133"/>
      <c r="Q216" s="5"/>
      <c r="R216" s="5"/>
      <c r="S216" s="5"/>
      <c r="T216" s="5"/>
      <c r="U216" s="5"/>
      <c r="V216" s="5"/>
      <c r="W216" s="5"/>
    </row>
    <row r="217" spans="16:23" x14ac:dyDescent="0.25">
      <c r="P217" s="133"/>
      <c r="Q217" s="5"/>
      <c r="R217" s="5"/>
      <c r="S217" s="5"/>
      <c r="T217" s="5"/>
      <c r="U217" s="5"/>
      <c r="V217" s="5"/>
      <c r="W217" s="5"/>
    </row>
    <row r="218" spans="16:23" x14ac:dyDescent="0.25">
      <c r="P218" s="133"/>
      <c r="Q218" s="5"/>
      <c r="R218" s="5"/>
      <c r="S218" s="5"/>
      <c r="T218" s="5"/>
      <c r="U218" s="5"/>
      <c r="V218" s="5"/>
      <c r="W218" s="5"/>
    </row>
    <row r="219" spans="16:23" x14ac:dyDescent="0.25">
      <c r="P219" s="133"/>
      <c r="Q219" s="5"/>
      <c r="R219" s="5"/>
      <c r="S219" s="5"/>
      <c r="T219" s="5"/>
      <c r="U219" s="5"/>
      <c r="V219" s="5"/>
      <c r="W219" s="5"/>
    </row>
    <row r="220" spans="16:23" x14ac:dyDescent="0.25">
      <c r="P220" s="133"/>
      <c r="Q220" s="5"/>
      <c r="R220" s="5"/>
      <c r="S220" s="5"/>
      <c r="T220" s="5"/>
      <c r="U220" s="5"/>
      <c r="V220" s="5"/>
      <c r="W220" s="5"/>
    </row>
    <row r="221" spans="16:23" x14ac:dyDescent="0.25">
      <c r="P221" s="133"/>
      <c r="Q221" s="5"/>
      <c r="R221" s="5"/>
      <c r="S221" s="5"/>
      <c r="T221" s="5"/>
      <c r="U221" s="5"/>
      <c r="V221" s="5"/>
      <c r="W221" s="5"/>
    </row>
    <row r="222" spans="16:23" x14ac:dyDescent="0.25">
      <c r="P222" s="133"/>
      <c r="Q222" s="5"/>
      <c r="R222" s="5"/>
      <c r="S222" s="5"/>
      <c r="T222" s="5"/>
      <c r="U222" s="5"/>
      <c r="V222" s="5"/>
      <c r="W222" s="5"/>
    </row>
    <row r="223" spans="16:23" x14ac:dyDescent="0.25">
      <c r="P223" s="133"/>
      <c r="Q223" s="5"/>
      <c r="R223" s="5"/>
      <c r="S223" s="5"/>
      <c r="T223" s="5"/>
      <c r="U223" s="5"/>
      <c r="V223" s="5"/>
      <c r="W223" s="5"/>
    </row>
    <row r="224" spans="16:23" x14ac:dyDescent="0.25">
      <c r="P224" s="133"/>
      <c r="Q224" s="5"/>
      <c r="R224" s="5"/>
      <c r="S224" s="5"/>
      <c r="T224" s="5"/>
      <c r="U224" s="5"/>
      <c r="V224" s="5"/>
      <c r="W224" s="5"/>
    </row>
    <row r="225" spans="16:23" x14ac:dyDescent="0.25">
      <c r="P225" s="133"/>
      <c r="Q225" s="5"/>
      <c r="R225" s="5"/>
      <c r="S225" s="5"/>
      <c r="T225" s="5"/>
      <c r="U225" s="5"/>
      <c r="V225" s="5"/>
      <c r="W225" s="5"/>
    </row>
    <row r="226" spans="16:23" x14ac:dyDescent="0.25">
      <c r="P226" s="133"/>
      <c r="Q226" s="5"/>
      <c r="R226" s="5"/>
      <c r="S226" s="5"/>
      <c r="T226" s="5"/>
      <c r="U226" s="5"/>
      <c r="V226" s="5"/>
      <c r="W226" s="5"/>
    </row>
    <row r="227" spans="16:23" x14ac:dyDescent="0.25">
      <c r="P227" s="133"/>
      <c r="Q227" s="5"/>
      <c r="R227" s="5"/>
      <c r="S227" s="5"/>
      <c r="T227" s="5"/>
      <c r="U227" s="5"/>
      <c r="V227" s="5"/>
      <c r="W227" s="5"/>
    </row>
    <row r="228" spans="16:23" x14ac:dyDescent="0.25">
      <c r="P228" s="133"/>
      <c r="Q228" s="5"/>
      <c r="R228" s="5"/>
      <c r="S228" s="5"/>
      <c r="T228" s="5"/>
      <c r="U228" s="5"/>
      <c r="V228" s="5"/>
      <c r="W228" s="5"/>
    </row>
    <row r="229" spans="16:23" x14ac:dyDescent="0.25">
      <c r="P229" s="133"/>
      <c r="Q229" s="5"/>
      <c r="R229" s="5"/>
      <c r="S229" s="5"/>
      <c r="T229" s="5"/>
      <c r="U229" s="5"/>
      <c r="V229" s="5"/>
      <c r="W229" s="5"/>
    </row>
    <row r="230" spans="16:23" x14ac:dyDescent="0.25">
      <c r="P230" s="133"/>
      <c r="Q230" s="5"/>
      <c r="R230" s="5"/>
      <c r="S230" s="5"/>
      <c r="T230" s="5"/>
      <c r="U230" s="5"/>
      <c r="V230" s="5"/>
      <c r="W230" s="5"/>
    </row>
    <row r="231" spans="16:23" x14ac:dyDescent="0.25">
      <c r="P231" s="133"/>
      <c r="Q231" s="5"/>
      <c r="R231" s="5"/>
      <c r="S231" s="5"/>
      <c r="T231" s="5"/>
      <c r="U231" s="5"/>
      <c r="V231" s="5"/>
      <c r="W231" s="5"/>
    </row>
    <row r="232" spans="16:23" x14ac:dyDescent="0.25">
      <c r="P232" s="133"/>
      <c r="Q232" s="5"/>
      <c r="R232" s="5"/>
      <c r="S232" s="5"/>
      <c r="T232" s="5"/>
      <c r="U232" s="5"/>
      <c r="V232" s="5"/>
      <c r="W232" s="5"/>
    </row>
    <row r="233" spans="16:23" x14ac:dyDescent="0.25">
      <c r="P233" s="133"/>
      <c r="Q233" s="5"/>
      <c r="R233" s="5"/>
      <c r="S233" s="5"/>
      <c r="T233" s="5"/>
      <c r="U233" s="5"/>
      <c r="V233" s="5"/>
      <c r="W233" s="5"/>
    </row>
    <row r="234" spans="16:23" x14ac:dyDescent="0.25">
      <c r="P234" s="133"/>
      <c r="Q234" s="5"/>
      <c r="R234" s="5"/>
      <c r="S234" s="5"/>
      <c r="T234" s="5"/>
      <c r="U234" s="5"/>
      <c r="V234" s="5"/>
      <c r="W234" s="5"/>
    </row>
    <row r="235" spans="16:23" x14ac:dyDescent="0.25">
      <c r="P235" s="133"/>
      <c r="Q235" s="5"/>
      <c r="R235" s="5"/>
      <c r="S235" s="5"/>
      <c r="T235" s="5"/>
      <c r="U235" s="5"/>
      <c r="V235" s="5"/>
      <c r="W235" s="5"/>
    </row>
    <row r="236" spans="16:23" x14ac:dyDescent="0.25">
      <c r="P236" s="133"/>
      <c r="Q236" s="5"/>
      <c r="R236" s="5"/>
      <c r="S236" s="5"/>
      <c r="T236" s="5"/>
      <c r="U236" s="5"/>
      <c r="V236" s="5"/>
      <c r="W236" s="5"/>
    </row>
    <row r="237" spans="16:23" x14ac:dyDescent="0.25">
      <c r="P237" s="133"/>
      <c r="Q237" s="5"/>
      <c r="R237" s="5"/>
      <c r="S237" s="5"/>
      <c r="T237" s="5"/>
      <c r="U237" s="5"/>
      <c r="V237" s="5"/>
      <c r="W237" s="5"/>
    </row>
    <row r="238" spans="16:23" x14ac:dyDescent="0.25">
      <c r="P238" s="133"/>
      <c r="Q238" s="5"/>
      <c r="R238" s="5"/>
      <c r="S238" s="5"/>
      <c r="T238" s="5"/>
      <c r="U238" s="5"/>
      <c r="V238" s="5"/>
      <c r="W238" s="5"/>
    </row>
    <row r="239" spans="16:23" x14ac:dyDescent="0.25">
      <c r="P239" s="133"/>
      <c r="Q239" s="5"/>
      <c r="R239" s="5"/>
      <c r="S239" s="5"/>
      <c r="T239" s="5"/>
      <c r="U239" s="5"/>
      <c r="V239" s="5"/>
      <c r="W239" s="5"/>
    </row>
    <row r="240" spans="16:23" x14ac:dyDescent="0.25">
      <c r="P240" s="133"/>
      <c r="Q240" s="5"/>
      <c r="R240" s="5"/>
      <c r="S240" s="5"/>
      <c r="T240" s="5"/>
      <c r="U240" s="5"/>
      <c r="V240" s="5"/>
      <c r="W240" s="5"/>
    </row>
    <row r="241" spans="16:23" x14ac:dyDescent="0.25">
      <c r="P241" s="133"/>
      <c r="Q241" s="5"/>
      <c r="R241" s="5"/>
      <c r="S241" s="5"/>
      <c r="T241" s="5"/>
      <c r="U241" s="5"/>
      <c r="V241" s="5"/>
      <c r="W241" s="5"/>
    </row>
    <row r="242" spans="16:23" x14ac:dyDescent="0.25">
      <c r="P242" s="133"/>
      <c r="Q242" s="5"/>
      <c r="R242" s="5"/>
      <c r="S242" s="5"/>
      <c r="T242" s="5"/>
      <c r="U242" s="5"/>
      <c r="V242" s="5"/>
      <c r="W242" s="5"/>
    </row>
    <row r="243" spans="16:23" x14ac:dyDescent="0.25">
      <c r="P243" s="133"/>
      <c r="Q243" s="5"/>
      <c r="R243" s="5"/>
      <c r="S243" s="5"/>
      <c r="T243" s="5"/>
      <c r="U243" s="5"/>
      <c r="V243" s="5"/>
      <c r="W243" s="5"/>
    </row>
    <row r="244" spans="16:23" x14ac:dyDescent="0.25">
      <c r="P244" s="133"/>
      <c r="Q244" s="5"/>
      <c r="R244" s="5"/>
      <c r="S244" s="5"/>
      <c r="T244" s="5"/>
      <c r="U244" s="5"/>
      <c r="V244" s="5"/>
      <c r="W244" s="5"/>
    </row>
    <row r="245" spans="16:23" x14ac:dyDescent="0.25">
      <c r="P245" s="133"/>
      <c r="Q245" s="5"/>
      <c r="R245" s="5"/>
      <c r="S245" s="5"/>
      <c r="T245" s="5"/>
      <c r="U245" s="5"/>
      <c r="V245" s="5"/>
      <c r="W245" s="5"/>
    </row>
    <row r="246" spans="16:23" x14ac:dyDescent="0.25">
      <c r="P246" s="133"/>
      <c r="Q246" s="5"/>
      <c r="R246" s="5"/>
      <c r="S246" s="5"/>
      <c r="T246" s="5"/>
      <c r="U246" s="5"/>
      <c r="V246" s="5"/>
      <c r="W246" s="5"/>
    </row>
    <row r="247" spans="16:23" x14ac:dyDescent="0.25">
      <c r="P247" s="133"/>
      <c r="Q247" s="5"/>
      <c r="R247" s="5"/>
      <c r="S247" s="5"/>
      <c r="T247" s="5"/>
      <c r="U247" s="5"/>
      <c r="V247" s="5"/>
      <c r="W247" s="5"/>
    </row>
    <row r="248" spans="16:23" x14ac:dyDescent="0.25">
      <c r="P248" s="133"/>
      <c r="Q248" s="5"/>
      <c r="R248" s="5"/>
      <c r="S248" s="5"/>
      <c r="T248" s="5"/>
      <c r="U248" s="5"/>
      <c r="V248" s="5"/>
      <c r="W248" s="5"/>
    </row>
    <row r="249" spans="16:23" x14ac:dyDescent="0.25">
      <c r="P249" s="133"/>
      <c r="Q249" s="5"/>
      <c r="R249" s="5"/>
      <c r="S249" s="5"/>
      <c r="T249" s="5"/>
      <c r="U249" s="5"/>
      <c r="V249" s="5"/>
      <c r="W249" s="5"/>
    </row>
    <row r="250" spans="16:23" x14ac:dyDescent="0.25">
      <c r="P250" s="133"/>
      <c r="Q250" s="5"/>
      <c r="R250" s="5"/>
      <c r="S250" s="5"/>
      <c r="T250" s="5"/>
      <c r="U250" s="5"/>
      <c r="V250" s="5"/>
      <c r="W250" s="5"/>
    </row>
    <row r="251" spans="16:23" x14ac:dyDescent="0.25">
      <c r="P251" s="133"/>
      <c r="Q251" s="5"/>
      <c r="R251" s="5"/>
      <c r="S251" s="5"/>
      <c r="T251" s="5"/>
      <c r="U251" s="5"/>
      <c r="V251" s="5"/>
      <c r="W251" s="5"/>
    </row>
    <row r="252" spans="16:23" x14ac:dyDescent="0.25">
      <c r="P252" s="133"/>
      <c r="Q252" s="5"/>
      <c r="R252" s="5"/>
      <c r="S252" s="5"/>
      <c r="T252" s="5"/>
      <c r="U252" s="5"/>
      <c r="V252" s="5"/>
      <c r="W252" s="5"/>
    </row>
    <row r="253" spans="16:23" x14ac:dyDescent="0.25">
      <c r="P253" s="133"/>
      <c r="Q253" s="5"/>
      <c r="R253" s="5"/>
      <c r="S253" s="5"/>
      <c r="T253" s="5"/>
      <c r="U253" s="5"/>
      <c r="V253" s="5"/>
      <c r="W253" s="5"/>
    </row>
    <row r="254" spans="16:23" x14ac:dyDescent="0.25">
      <c r="P254" s="133"/>
      <c r="Q254" s="5"/>
      <c r="R254" s="5"/>
      <c r="S254" s="5"/>
      <c r="T254" s="5"/>
      <c r="U254" s="5"/>
      <c r="V254" s="5"/>
      <c r="W254" s="5"/>
    </row>
    <row r="255" spans="16:23" x14ac:dyDescent="0.25">
      <c r="P255" s="133"/>
      <c r="Q255" s="5"/>
      <c r="R255" s="5"/>
      <c r="S255" s="5"/>
      <c r="T255" s="5"/>
      <c r="U255" s="5"/>
      <c r="V255" s="5"/>
      <c r="W255" s="5"/>
    </row>
    <row r="256" spans="16:23" x14ac:dyDescent="0.25">
      <c r="P256" s="133"/>
      <c r="Q256" s="5"/>
      <c r="R256" s="5"/>
      <c r="S256" s="5"/>
      <c r="T256" s="5"/>
      <c r="U256" s="5"/>
      <c r="V256" s="5"/>
      <c r="W256" s="5"/>
    </row>
    <row r="257" spans="16:23" x14ac:dyDescent="0.25">
      <c r="P257" s="133"/>
      <c r="Q257" s="5"/>
      <c r="R257" s="5"/>
      <c r="S257" s="5"/>
      <c r="T257" s="5"/>
      <c r="U257" s="5"/>
      <c r="V257" s="5"/>
      <c r="W257" s="5"/>
    </row>
    <row r="258" spans="16:23" x14ac:dyDescent="0.25">
      <c r="P258" s="133"/>
      <c r="Q258" s="5"/>
      <c r="R258" s="5"/>
      <c r="S258" s="5"/>
      <c r="T258" s="5"/>
      <c r="U258" s="5"/>
      <c r="V258" s="5"/>
      <c r="W258" s="5"/>
    </row>
    <row r="259" spans="16:23" x14ac:dyDescent="0.25">
      <c r="P259" s="133"/>
      <c r="Q259" s="5"/>
      <c r="R259" s="5"/>
      <c r="S259" s="5"/>
      <c r="T259" s="5"/>
      <c r="U259" s="5"/>
      <c r="V259" s="5"/>
      <c r="W259" s="5"/>
    </row>
    <row r="260" spans="16:23" x14ac:dyDescent="0.25">
      <c r="P260" s="133"/>
      <c r="Q260" s="5"/>
      <c r="R260" s="5"/>
      <c r="S260" s="5"/>
      <c r="T260" s="5"/>
      <c r="U260" s="5"/>
      <c r="V260" s="5"/>
      <c r="W260" s="5"/>
    </row>
    <row r="261" spans="16:23" x14ac:dyDescent="0.25">
      <c r="P261" s="133"/>
      <c r="Q261" s="5"/>
      <c r="R261" s="5"/>
      <c r="S261" s="5"/>
      <c r="T261" s="5"/>
      <c r="U261" s="5"/>
      <c r="V261" s="5"/>
      <c r="W261" s="5"/>
    </row>
    <row r="262" spans="16:23" x14ac:dyDescent="0.25">
      <c r="P262" s="133"/>
      <c r="Q262" s="5"/>
      <c r="R262" s="5"/>
      <c r="S262" s="5"/>
      <c r="T262" s="5"/>
      <c r="U262" s="5"/>
      <c r="V262" s="5"/>
      <c r="W262" s="5"/>
    </row>
    <row r="263" spans="16:23" x14ac:dyDescent="0.25">
      <c r="P263" s="133"/>
      <c r="Q263" s="5"/>
      <c r="R263" s="5"/>
      <c r="S263" s="5"/>
      <c r="T263" s="5"/>
      <c r="U263" s="5"/>
      <c r="V263" s="5"/>
      <c r="W263" s="5"/>
    </row>
    <row r="264" spans="16:23" x14ac:dyDescent="0.25">
      <c r="P264" s="133"/>
      <c r="Q264" s="5"/>
      <c r="R264" s="5"/>
      <c r="S264" s="5"/>
      <c r="T264" s="5"/>
      <c r="U264" s="5"/>
      <c r="V264" s="5"/>
      <c r="W264" s="5"/>
    </row>
    <row r="265" spans="16:23" x14ac:dyDescent="0.25">
      <c r="P265" s="133"/>
      <c r="Q265" s="5"/>
      <c r="R265" s="5"/>
      <c r="S265" s="5"/>
      <c r="T265" s="5"/>
      <c r="U265" s="5"/>
      <c r="V265" s="5"/>
      <c r="W265" s="5"/>
    </row>
    <row r="266" spans="16:23" x14ac:dyDescent="0.25">
      <c r="P266" s="133"/>
      <c r="Q266" s="5"/>
      <c r="R266" s="5"/>
      <c r="S266" s="5"/>
      <c r="T266" s="5"/>
      <c r="U266" s="5"/>
      <c r="V266" s="5"/>
      <c r="W266" s="5"/>
    </row>
    <row r="267" spans="16:23" x14ac:dyDescent="0.25">
      <c r="P267" s="133"/>
      <c r="Q267" s="5"/>
      <c r="R267" s="5"/>
      <c r="S267" s="5"/>
      <c r="T267" s="5"/>
      <c r="U267" s="5"/>
      <c r="V267" s="5"/>
      <c r="W267" s="5"/>
    </row>
    <row r="268" spans="16:23" x14ac:dyDescent="0.25">
      <c r="P268" s="133"/>
      <c r="Q268" s="5"/>
      <c r="R268" s="5"/>
      <c r="S268" s="5"/>
      <c r="T268" s="5"/>
      <c r="U268" s="5"/>
      <c r="V268" s="5"/>
      <c r="W268" s="5"/>
    </row>
    <row r="269" spans="16:23" x14ac:dyDescent="0.25">
      <c r="P269" s="133"/>
      <c r="Q269" s="5"/>
      <c r="R269" s="5"/>
      <c r="S269" s="5"/>
      <c r="T269" s="5"/>
      <c r="U269" s="5"/>
      <c r="V269" s="5"/>
      <c r="W269" s="5"/>
    </row>
    <row r="270" spans="16:23" x14ac:dyDescent="0.25">
      <c r="P270" s="133"/>
      <c r="Q270" s="5"/>
      <c r="R270" s="5"/>
      <c r="S270" s="5"/>
      <c r="T270" s="5"/>
      <c r="U270" s="5"/>
      <c r="V270" s="5"/>
      <c r="W270" s="5"/>
    </row>
    <row r="271" spans="16:23" x14ac:dyDescent="0.25">
      <c r="P271" s="133"/>
      <c r="Q271" s="5"/>
      <c r="R271" s="5"/>
      <c r="S271" s="5"/>
      <c r="T271" s="5"/>
      <c r="U271" s="5"/>
      <c r="V271" s="5"/>
      <c r="W271" s="5"/>
    </row>
    <row r="272" spans="16:23" x14ac:dyDescent="0.25">
      <c r="P272" s="133"/>
      <c r="Q272" s="5"/>
      <c r="R272" s="5"/>
      <c r="S272" s="5"/>
      <c r="T272" s="5"/>
      <c r="U272" s="5"/>
      <c r="V272" s="5"/>
      <c r="W272" s="5"/>
    </row>
    <row r="273" spans="16:23" x14ac:dyDescent="0.25">
      <c r="P273" s="133"/>
      <c r="Q273" s="5"/>
      <c r="R273" s="5"/>
      <c r="S273" s="5"/>
      <c r="T273" s="5"/>
      <c r="U273" s="5"/>
      <c r="V273" s="5"/>
      <c r="W273" s="5"/>
    </row>
    <row r="274" spans="16:23" x14ac:dyDescent="0.25">
      <c r="P274" s="133"/>
      <c r="Q274" s="5"/>
      <c r="R274" s="5"/>
      <c r="S274" s="5"/>
      <c r="T274" s="5"/>
      <c r="U274" s="5"/>
      <c r="V274" s="5"/>
      <c r="W274" s="5"/>
    </row>
    <row r="275" spans="16:23" x14ac:dyDescent="0.25">
      <c r="P275" s="133"/>
      <c r="Q275" s="5"/>
      <c r="R275" s="5"/>
      <c r="S275" s="5"/>
      <c r="T275" s="5"/>
      <c r="U275" s="5"/>
      <c r="V275" s="5"/>
      <c r="W275" s="5"/>
    </row>
    <row r="276" spans="16:23" x14ac:dyDescent="0.25">
      <c r="P276" s="133"/>
      <c r="Q276" s="5"/>
      <c r="R276" s="5"/>
      <c r="S276" s="5"/>
      <c r="T276" s="5"/>
      <c r="U276" s="5"/>
      <c r="V276" s="5"/>
      <c r="W276" s="5"/>
    </row>
    <row r="277" spans="16:23" x14ac:dyDescent="0.25">
      <c r="P277" s="133"/>
      <c r="Q277" s="5"/>
      <c r="R277" s="5"/>
      <c r="S277" s="5"/>
      <c r="T277" s="5"/>
      <c r="U277" s="5"/>
      <c r="V277" s="5"/>
      <c r="W277" s="5"/>
    </row>
    <row r="278" spans="16:23" x14ac:dyDescent="0.25">
      <c r="P278" s="133"/>
      <c r="Q278" s="5"/>
      <c r="R278" s="5"/>
      <c r="S278" s="5"/>
      <c r="T278" s="5"/>
      <c r="U278" s="5"/>
      <c r="V278" s="5"/>
      <c r="W278" s="5"/>
    </row>
    <row r="279" spans="16:23" x14ac:dyDescent="0.25">
      <c r="P279" s="133"/>
      <c r="Q279" s="5"/>
      <c r="R279" s="5"/>
      <c r="S279" s="5"/>
      <c r="T279" s="5"/>
      <c r="U279" s="5"/>
      <c r="V279" s="5"/>
      <c r="W279" s="5"/>
    </row>
    <row r="280" spans="16:23" x14ac:dyDescent="0.25">
      <c r="P280" s="133"/>
      <c r="Q280" s="5"/>
      <c r="R280" s="5"/>
      <c r="S280" s="5"/>
      <c r="T280" s="5"/>
      <c r="U280" s="5"/>
      <c r="V280" s="5"/>
      <c r="W280" s="5"/>
    </row>
    <row r="281" spans="16:23" x14ac:dyDescent="0.25">
      <c r="P281" s="133"/>
      <c r="Q281" s="5"/>
      <c r="R281" s="5"/>
      <c r="S281" s="5"/>
      <c r="T281" s="5"/>
      <c r="U281" s="5"/>
      <c r="V281" s="5"/>
      <c r="W281" s="5"/>
    </row>
    <row r="282" spans="16:23" x14ac:dyDescent="0.25">
      <c r="P282" s="133"/>
      <c r="Q282" s="5"/>
      <c r="R282" s="5"/>
      <c r="S282" s="5"/>
      <c r="T282" s="5"/>
      <c r="U282" s="5"/>
      <c r="V282" s="5"/>
      <c r="W282" s="5"/>
    </row>
    <row r="283" spans="16:23" x14ac:dyDescent="0.25">
      <c r="P283" s="133"/>
      <c r="Q283" s="5"/>
      <c r="R283" s="5"/>
      <c r="S283" s="5"/>
      <c r="T283" s="5"/>
      <c r="U283" s="5"/>
      <c r="V283" s="5"/>
      <c r="W283" s="5"/>
    </row>
    <row r="284" spans="16:23" x14ac:dyDescent="0.25">
      <c r="P284" s="133"/>
      <c r="Q284" s="5"/>
      <c r="R284" s="5"/>
      <c r="S284" s="5"/>
      <c r="T284" s="5"/>
      <c r="U284" s="5"/>
      <c r="V284" s="5"/>
      <c r="W284" s="5"/>
    </row>
    <row r="285" spans="16:23" x14ac:dyDescent="0.25">
      <c r="P285" s="133"/>
      <c r="Q285" s="5"/>
      <c r="R285" s="5"/>
      <c r="S285" s="5"/>
      <c r="T285" s="5"/>
      <c r="U285" s="5"/>
      <c r="V285" s="5"/>
      <c r="W285" s="5"/>
    </row>
    <row r="286" spans="16:23" x14ac:dyDescent="0.25">
      <c r="P286" s="133"/>
      <c r="Q286" s="5"/>
      <c r="R286" s="5"/>
      <c r="S286" s="5"/>
      <c r="T286" s="5"/>
      <c r="U286" s="5"/>
      <c r="V286" s="5"/>
      <c r="W286" s="5"/>
    </row>
    <row r="287" spans="16:23" x14ac:dyDescent="0.25">
      <c r="P287" s="133"/>
      <c r="Q287" s="5"/>
      <c r="R287" s="5"/>
      <c r="S287" s="5"/>
      <c r="T287" s="5"/>
      <c r="U287" s="5"/>
      <c r="V287" s="5"/>
      <c r="W287" s="5"/>
    </row>
    <row r="288" spans="16:23" x14ac:dyDescent="0.25">
      <c r="P288" s="133"/>
      <c r="Q288" s="5"/>
      <c r="R288" s="5"/>
      <c r="S288" s="5"/>
      <c r="T288" s="5"/>
      <c r="U288" s="5"/>
      <c r="V288" s="5"/>
      <c r="W288" s="5"/>
    </row>
    <row r="289" spans="16:23" x14ac:dyDescent="0.25">
      <c r="P289" s="133"/>
      <c r="Q289" s="5"/>
      <c r="R289" s="5"/>
      <c r="S289" s="5"/>
      <c r="T289" s="5"/>
      <c r="U289" s="5"/>
      <c r="V289" s="5"/>
      <c r="W289" s="5"/>
    </row>
    <row r="290" spans="16:23" x14ac:dyDescent="0.25">
      <c r="P290" s="133"/>
      <c r="Q290" s="5"/>
      <c r="R290" s="5"/>
      <c r="S290" s="5"/>
      <c r="T290" s="5"/>
      <c r="U290" s="5"/>
      <c r="V290" s="5"/>
      <c r="W290" s="5"/>
    </row>
    <row r="291" spans="16:23" x14ac:dyDescent="0.25">
      <c r="P291" s="133"/>
      <c r="Q291" s="5"/>
      <c r="R291" s="5"/>
      <c r="S291" s="5"/>
      <c r="T291" s="5"/>
      <c r="U291" s="5"/>
      <c r="V291" s="5"/>
      <c r="W291" s="5"/>
    </row>
    <row r="292" spans="16:23" x14ac:dyDescent="0.25">
      <c r="P292" s="133"/>
      <c r="Q292" s="5"/>
      <c r="R292" s="5"/>
      <c r="S292" s="5"/>
      <c r="T292" s="5"/>
      <c r="U292" s="5"/>
      <c r="V292" s="5"/>
      <c r="W292" s="5"/>
    </row>
    <row r="293" spans="16:23" x14ac:dyDescent="0.25">
      <c r="P293" s="133"/>
      <c r="Q293" s="5"/>
      <c r="R293" s="5"/>
      <c r="S293" s="5"/>
      <c r="T293" s="5"/>
      <c r="U293" s="5"/>
      <c r="V293" s="5"/>
      <c r="W293" s="5"/>
    </row>
    <row r="294" spans="16:23" x14ac:dyDescent="0.25">
      <c r="P294" s="133"/>
      <c r="Q294" s="5"/>
      <c r="R294" s="5"/>
      <c r="S294" s="5"/>
      <c r="T294" s="5"/>
      <c r="U294" s="5"/>
      <c r="V294" s="5"/>
      <c r="W294" s="5"/>
    </row>
    <row r="295" spans="16:23" x14ac:dyDescent="0.25">
      <c r="P295" s="133"/>
      <c r="Q295" s="5"/>
      <c r="R295" s="5"/>
      <c r="S295" s="5"/>
      <c r="T295" s="5"/>
      <c r="U295" s="5"/>
      <c r="V295" s="5"/>
      <c r="W295" s="5"/>
    </row>
    <row r="296" spans="16:23" x14ac:dyDescent="0.25">
      <c r="P296" s="133"/>
      <c r="Q296" s="5"/>
      <c r="R296" s="5"/>
      <c r="S296" s="5"/>
      <c r="T296" s="5"/>
      <c r="U296" s="5"/>
      <c r="V296" s="5"/>
      <c r="W296" s="5"/>
    </row>
    <row r="297" spans="16:23" x14ac:dyDescent="0.25">
      <c r="P297" s="133"/>
      <c r="Q297" s="5"/>
      <c r="R297" s="5"/>
      <c r="S297" s="5"/>
      <c r="T297" s="5"/>
      <c r="U297" s="5"/>
      <c r="V297" s="5"/>
      <c r="W297" s="5"/>
    </row>
    <row r="298" spans="16:23" x14ac:dyDescent="0.25">
      <c r="P298" s="133"/>
      <c r="Q298" s="5"/>
      <c r="R298" s="5"/>
      <c r="S298" s="5"/>
      <c r="T298" s="5"/>
      <c r="U298" s="5"/>
      <c r="V298" s="5"/>
      <c r="W298" s="5"/>
    </row>
    <row r="299" spans="16:23" x14ac:dyDescent="0.25">
      <c r="P299" s="133"/>
      <c r="Q299" s="5"/>
      <c r="R299" s="5"/>
      <c r="S299" s="5"/>
      <c r="T299" s="5"/>
      <c r="U299" s="5"/>
      <c r="V299" s="5"/>
      <c r="W299" s="5"/>
    </row>
    <row r="300" spans="16:23" x14ac:dyDescent="0.25">
      <c r="P300" s="133"/>
      <c r="Q300" s="5"/>
      <c r="R300" s="5"/>
      <c r="S300" s="5"/>
      <c r="T300" s="5"/>
      <c r="U300" s="5"/>
      <c r="V300" s="5"/>
      <c r="W300" s="5"/>
    </row>
    <row r="301" spans="16:23" x14ac:dyDescent="0.25">
      <c r="P301" s="133"/>
      <c r="Q301" s="5"/>
      <c r="R301" s="5"/>
      <c r="S301" s="5"/>
      <c r="T301" s="5"/>
      <c r="U301" s="5"/>
      <c r="V301" s="5"/>
      <c r="W301" s="5"/>
    </row>
    <row r="302" spans="16:23" x14ac:dyDescent="0.25">
      <c r="P302" s="133"/>
      <c r="Q302" s="5"/>
      <c r="R302" s="5"/>
      <c r="S302" s="5"/>
      <c r="T302" s="5"/>
      <c r="U302" s="5"/>
      <c r="V302" s="5"/>
      <c r="W302" s="5"/>
    </row>
    <row r="303" spans="16:23" x14ac:dyDescent="0.25">
      <c r="P303" s="133"/>
      <c r="Q303" s="5"/>
      <c r="R303" s="5"/>
      <c r="S303" s="5"/>
      <c r="T303" s="5"/>
      <c r="U303" s="5"/>
      <c r="V303" s="5"/>
      <c r="W303" s="5"/>
    </row>
    <row r="304" spans="16:23" x14ac:dyDescent="0.25">
      <c r="P304" s="133"/>
      <c r="Q304" s="5"/>
      <c r="R304" s="5"/>
      <c r="S304" s="5"/>
      <c r="T304" s="5"/>
      <c r="U304" s="5"/>
      <c r="V304" s="5"/>
      <c r="W304" s="5"/>
    </row>
    <row r="305" spans="16:23" x14ac:dyDescent="0.25">
      <c r="P305" s="133"/>
      <c r="Q305" s="5"/>
      <c r="R305" s="5"/>
      <c r="S305" s="5"/>
      <c r="T305" s="5"/>
      <c r="U305" s="5"/>
      <c r="V305" s="5"/>
      <c r="W305" s="5"/>
    </row>
    <row r="306" spans="16:23" x14ac:dyDescent="0.25">
      <c r="P306" s="133"/>
      <c r="Q306" s="5"/>
      <c r="R306" s="5"/>
      <c r="S306" s="5"/>
      <c r="T306" s="5"/>
      <c r="U306" s="5"/>
      <c r="V306" s="5"/>
      <c r="W306" s="5"/>
    </row>
    <row r="307" spans="16:23" x14ac:dyDescent="0.25">
      <c r="P307" s="133"/>
      <c r="Q307" s="5"/>
      <c r="R307" s="5"/>
      <c r="S307" s="5"/>
      <c r="T307" s="5"/>
      <c r="U307" s="5"/>
      <c r="V307" s="5"/>
      <c r="W307" s="5"/>
    </row>
    <row r="308" spans="16:23" x14ac:dyDescent="0.25">
      <c r="P308" s="133"/>
      <c r="Q308" s="5"/>
      <c r="R308" s="5"/>
      <c r="S308" s="5"/>
      <c r="T308" s="5"/>
      <c r="U308" s="5"/>
      <c r="V308" s="5"/>
      <c r="W308" s="5"/>
    </row>
    <row r="309" spans="16:23" x14ac:dyDescent="0.25">
      <c r="P309" s="133"/>
      <c r="Q309" s="5"/>
      <c r="R309" s="5"/>
      <c r="S309" s="5"/>
      <c r="T309" s="5"/>
      <c r="U309" s="5"/>
      <c r="V309" s="5"/>
      <c r="W309" s="5"/>
    </row>
    <row r="310" spans="16:23" x14ac:dyDescent="0.25">
      <c r="P310" s="133"/>
      <c r="Q310" s="5"/>
      <c r="R310" s="5"/>
      <c r="S310" s="5"/>
      <c r="T310" s="5"/>
      <c r="U310" s="5"/>
      <c r="V310" s="5"/>
      <c r="W310" s="5"/>
    </row>
    <row r="311" spans="16:23" x14ac:dyDescent="0.25">
      <c r="P311" s="133"/>
      <c r="Q311" s="5"/>
      <c r="R311" s="5"/>
      <c r="S311" s="5"/>
      <c r="T311" s="5"/>
      <c r="U311" s="5"/>
      <c r="V311" s="5"/>
      <c r="W311" s="5"/>
    </row>
    <row r="312" spans="16:23" x14ac:dyDescent="0.25">
      <c r="P312" s="133"/>
      <c r="Q312" s="5"/>
      <c r="R312" s="5"/>
      <c r="S312" s="5"/>
      <c r="T312" s="5"/>
      <c r="U312" s="5"/>
      <c r="V312" s="5"/>
      <c r="W312" s="5"/>
    </row>
    <row r="313" spans="16:23" x14ac:dyDescent="0.25">
      <c r="P313" s="133"/>
      <c r="Q313" s="5"/>
      <c r="R313" s="5"/>
      <c r="S313" s="5"/>
      <c r="T313" s="5"/>
      <c r="U313" s="5"/>
      <c r="V313" s="5"/>
      <c r="W313" s="5"/>
    </row>
    <row r="314" spans="16:23" x14ac:dyDescent="0.25">
      <c r="P314" s="133"/>
      <c r="Q314" s="5"/>
      <c r="R314" s="5"/>
      <c r="S314" s="5"/>
      <c r="T314" s="5"/>
      <c r="U314" s="5"/>
      <c r="V314" s="5"/>
      <c r="W314" s="5"/>
    </row>
    <row r="315" spans="16:23" x14ac:dyDescent="0.25">
      <c r="P315" s="133"/>
      <c r="Q315" s="5"/>
      <c r="R315" s="5"/>
      <c r="S315" s="5"/>
      <c r="T315" s="5"/>
      <c r="U315" s="5"/>
      <c r="V315" s="5"/>
      <c r="W315" s="5"/>
    </row>
    <row r="316" spans="16:23" x14ac:dyDescent="0.25">
      <c r="P316" s="133"/>
      <c r="Q316" s="5"/>
      <c r="R316" s="5"/>
      <c r="S316" s="5"/>
      <c r="T316" s="5"/>
      <c r="U316" s="5"/>
      <c r="V316" s="5"/>
      <c r="W316" s="5"/>
    </row>
    <row r="317" spans="16:23" x14ac:dyDescent="0.25">
      <c r="P317" s="133"/>
      <c r="Q317" s="5"/>
      <c r="R317" s="5"/>
      <c r="S317" s="5"/>
      <c r="T317" s="5"/>
      <c r="U317" s="5"/>
      <c r="V317" s="5"/>
      <c r="W317" s="5"/>
    </row>
    <row r="318" spans="16:23" x14ac:dyDescent="0.25">
      <c r="P318" s="133"/>
      <c r="Q318" s="5"/>
      <c r="R318" s="5"/>
      <c r="S318" s="5"/>
      <c r="T318" s="5"/>
      <c r="U318" s="5"/>
      <c r="V318" s="5"/>
      <c r="W318" s="5"/>
    </row>
    <row r="319" spans="16:23" x14ac:dyDescent="0.25">
      <c r="P319" s="133"/>
      <c r="Q319" s="5"/>
      <c r="R319" s="5"/>
      <c r="S319" s="5"/>
      <c r="T319" s="5"/>
      <c r="U319" s="5"/>
      <c r="V319" s="5"/>
      <c r="W319" s="5"/>
    </row>
    <row r="320" spans="16:23" x14ac:dyDescent="0.25">
      <c r="P320" s="133"/>
      <c r="Q320" s="5"/>
      <c r="R320" s="5"/>
      <c r="S320" s="5"/>
      <c r="T320" s="5"/>
      <c r="U320" s="5"/>
      <c r="V320" s="5"/>
      <c r="W320" s="5"/>
    </row>
    <row r="321" spans="16:23" x14ac:dyDescent="0.25">
      <c r="P321" s="133"/>
      <c r="Q321" s="5"/>
      <c r="R321" s="5"/>
      <c r="S321" s="5"/>
      <c r="T321" s="5"/>
      <c r="U321" s="5"/>
      <c r="V321" s="5"/>
      <c r="W321" s="5"/>
    </row>
    <row r="322" spans="16:23" x14ac:dyDescent="0.25">
      <c r="P322" s="133"/>
      <c r="Q322" s="5"/>
      <c r="R322" s="5"/>
      <c r="S322" s="5"/>
      <c r="T322" s="5"/>
      <c r="U322" s="5"/>
      <c r="V322" s="5"/>
      <c r="W322" s="5"/>
    </row>
    <row r="323" spans="16:23" x14ac:dyDescent="0.25">
      <c r="P323" s="133"/>
      <c r="Q323" s="5"/>
      <c r="R323" s="5"/>
      <c r="S323" s="5"/>
      <c r="T323" s="5"/>
      <c r="U323" s="5"/>
      <c r="V323" s="5"/>
      <c r="W323" s="5"/>
    </row>
    <row r="324" spans="16:23" x14ac:dyDescent="0.25">
      <c r="P324" s="133"/>
      <c r="Q324" s="5"/>
      <c r="R324" s="5"/>
      <c r="S324" s="5"/>
      <c r="T324" s="5"/>
      <c r="U324" s="5"/>
      <c r="V324" s="5"/>
      <c r="W324" s="5"/>
    </row>
    <row r="325" spans="16:23" x14ac:dyDescent="0.25">
      <c r="P325" s="133"/>
      <c r="Q325" s="5"/>
      <c r="R325" s="5"/>
      <c r="S325" s="5"/>
      <c r="T325" s="5"/>
      <c r="U325" s="5"/>
      <c r="V325" s="5"/>
      <c r="W325" s="5"/>
    </row>
    <row r="326" spans="16:23" x14ac:dyDescent="0.25">
      <c r="P326" s="133"/>
      <c r="Q326" s="5"/>
      <c r="R326" s="5"/>
      <c r="S326" s="5"/>
      <c r="T326" s="5"/>
      <c r="U326" s="5"/>
      <c r="V326" s="5"/>
      <c r="W326" s="5"/>
    </row>
    <row r="327" spans="16:23" x14ac:dyDescent="0.25">
      <c r="P327" s="133"/>
      <c r="Q327" s="5"/>
      <c r="R327" s="5"/>
      <c r="S327" s="5"/>
      <c r="T327" s="5"/>
      <c r="U327" s="5"/>
      <c r="V327" s="5"/>
      <c r="W327" s="5"/>
    </row>
    <row r="328" spans="16:23" x14ac:dyDescent="0.25">
      <c r="P328" s="133"/>
      <c r="Q328" s="5"/>
      <c r="R328" s="5"/>
      <c r="S328" s="5"/>
      <c r="T328" s="5"/>
      <c r="U328" s="5"/>
      <c r="V328" s="5"/>
      <c r="W328" s="5"/>
    </row>
    <row r="329" spans="16:23" x14ac:dyDescent="0.25">
      <c r="P329" s="133"/>
      <c r="Q329" s="5"/>
      <c r="R329" s="5"/>
      <c r="S329" s="5"/>
      <c r="T329" s="5"/>
      <c r="U329" s="5"/>
      <c r="V329" s="5"/>
      <c r="W329" s="5"/>
    </row>
    <row r="330" spans="16:23" x14ac:dyDescent="0.25">
      <c r="P330" s="133"/>
      <c r="Q330" s="5"/>
      <c r="R330" s="5"/>
      <c r="S330" s="5"/>
      <c r="T330" s="5"/>
      <c r="U330" s="5"/>
      <c r="V330" s="5"/>
      <c r="W330" s="5"/>
    </row>
    <row r="331" spans="16:23" x14ac:dyDescent="0.25">
      <c r="P331" s="133"/>
      <c r="Q331" s="5"/>
      <c r="R331" s="5"/>
      <c r="S331" s="5"/>
      <c r="T331" s="5"/>
      <c r="U331" s="5"/>
      <c r="V331" s="5"/>
      <c r="W331" s="5"/>
    </row>
    <row r="332" spans="16:23" x14ac:dyDescent="0.25">
      <c r="P332" s="133"/>
      <c r="Q332" s="5"/>
      <c r="R332" s="5"/>
      <c r="S332" s="5"/>
      <c r="T332" s="5"/>
      <c r="U332" s="5"/>
      <c r="V332" s="5"/>
      <c r="W332" s="5"/>
    </row>
    <row r="333" spans="16:23" x14ac:dyDescent="0.25">
      <c r="P333" s="133"/>
      <c r="Q333" s="5"/>
      <c r="R333" s="5"/>
      <c r="S333" s="5"/>
      <c r="T333" s="5"/>
      <c r="U333" s="5"/>
      <c r="V333" s="5"/>
      <c r="W333" s="5"/>
    </row>
    <row r="334" spans="16:23" x14ac:dyDescent="0.25">
      <c r="P334" s="133"/>
      <c r="Q334" s="5"/>
      <c r="R334" s="5"/>
      <c r="S334" s="5"/>
      <c r="T334" s="5"/>
      <c r="U334" s="5"/>
      <c r="V334" s="5"/>
      <c r="W334" s="5"/>
    </row>
    <row r="335" spans="16:23" x14ac:dyDescent="0.25">
      <c r="P335" s="133"/>
      <c r="Q335" s="5"/>
      <c r="R335" s="5"/>
      <c r="S335" s="5"/>
      <c r="T335" s="5"/>
      <c r="U335" s="5"/>
      <c r="V335" s="5"/>
      <c r="W335" s="5"/>
    </row>
    <row r="336" spans="16:23" x14ac:dyDescent="0.25">
      <c r="P336" s="133"/>
      <c r="Q336" s="5"/>
      <c r="R336" s="5"/>
      <c r="S336" s="5"/>
      <c r="T336" s="5"/>
      <c r="U336" s="5"/>
      <c r="V336" s="5"/>
      <c r="W336" s="5"/>
    </row>
    <row r="337" spans="16:23" x14ac:dyDescent="0.25">
      <c r="P337" s="133"/>
      <c r="Q337" s="5"/>
      <c r="R337" s="5"/>
      <c r="S337" s="5"/>
      <c r="T337" s="5"/>
      <c r="U337" s="5"/>
      <c r="V337" s="5"/>
      <c r="W337" s="5"/>
    </row>
    <row r="338" spans="16:23" x14ac:dyDescent="0.25">
      <c r="P338" s="133"/>
      <c r="Q338" s="5"/>
      <c r="R338" s="5"/>
      <c r="S338" s="5"/>
      <c r="T338" s="5"/>
      <c r="U338" s="5"/>
      <c r="V338" s="5"/>
      <c r="W338" s="5"/>
    </row>
    <row r="339" spans="16:23" x14ac:dyDescent="0.25">
      <c r="P339" s="133"/>
      <c r="Q339" s="5"/>
      <c r="R339" s="5"/>
      <c r="S339" s="5"/>
      <c r="T339" s="5"/>
      <c r="U339" s="5"/>
      <c r="V339" s="5"/>
      <c r="W339" s="5"/>
    </row>
    <row r="340" spans="16:23" x14ac:dyDescent="0.25">
      <c r="P340" s="133"/>
      <c r="Q340" s="5"/>
      <c r="R340" s="5"/>
      <c r="S340" s="5"/>
      <c r="T340" s="5"/>
      <c r="U340" s="5"/>
      <c r="V340" s="5"/>
      <c r="W340" s="5"/>
    </row>
    <row r="341" spans="16:23" x14ac:dyDescent="0.25">
      <c r="P341" s="133"/>
      <c r="Q341" s="5"/>
      <c r="R341" s="5"/>
      <c r="S341" s="5"/>
      <c r="T341" s="5"/>
      <c r="U341" s="5"/>
      <c r="V341" s="5"/>
      <c r="W341" s="5"/>
    </row>
    <row r="342" spans="16:23" x14ac:dyDescent="0.25">
      <c r="P342" s="133"/>
      <c r="Q342" s="5"/>
      <c r="R342" s="5"/>
      <c r="S342" s="5"/>
      <c r="T342" s="5"/>
      <c r="U342" s="5"/>
      <c r="V342" s="5"/>
      <c r="W342" s="5"/>
    </row>
    <row r="343" spans="16:23" x14ac:dyDescent="0.25">
      <c r="P343" s="133"/>
      <c r="Q343" s="5"/>
      <c r="R343" s="5"/>
      <c r="S343" s="5"/>
      <c r="T343" s="5"/>
      <c r="U343" s="5"/>
      <c r="V343" s="5"/>
      <c r="W343" s="5"/>
    </row>
    <row r="344" spans="16:23" x14ac:dyDescent="0.25">
      <c r="P344" s="133"/>
      <c r="Q344" s="5"/>
      <c r="R344" s="5"/>
      <c r="S344" s="5"/>
      <c r="T344" s="5"/>
      <c r="U344" s="5"/>
      <c r="V344" s="5"/>
      <c r="W344" s="5"/>
    </row>
    <row r="345" spans="16:23" x14ac:dyDescent="0.25">
      <c r="P345" s="133"/>
      <c r="Q345" s="5"/>
      <c r="R345" s="5"/>
      <c r="S345" s="5"/>
      <c r="T345" s="5"/>
      <c r="U345" s="5"/>
      <c r="V345" s="5"/>
      <c r="W345" s="5"/>
    </row>
    <row r="346" spans="16:23" x14ac:dyDescent="0.25">
      <c r="P346" s="133"/>
      <c r="Q346" s="5"/>
      <c r="R346" s="5"/>
      <c r="S346" s="5"/>
      <c r="T346" s="5"/>
      <c r="U346" s="5"/>
      <c r="V346" s="5"/>
      <c r="W346" s="5"/>
    </row>
    <row r="347" spans="16:23" x14ac:dyDescent="0.25">
      <c r="P347" s="133"/>
      <c r="Q347" s="5"/>
      <c r="R347" s="5"/>
      <c r="S347" s="5"/>
      <c r="T347" s="5"/>
      <c r="U347" s="5"/>
      <c r="V347" s="5"/>
      <c r="W347" s="5"/>
    </row>
    <row r="348" spans="16:23" x14ac:dyDescent="0.25">
      <c r="P348" s="133"/>
      <c r="Q348" s="5"/>
      <c r="R348" s="5"/>
      <c r="S348" s="5"/>
      <c r="T348" s="5"/>
      <c r="U348" s="5"/>
      <c r="V348" s="5"/>
      <c r="W348" s="5"/>
    </row>
    <row r="349" spans="16:23" x14ac:dyDescent="0.25">
      <c r="P349" s="133"/>
      <c r="Q349" s="5"/>
      <c r="R349" s="5"/>
      <c r="S349" s="5"/>
      <c r="T349" s="5"/>
      <c r="U349" s="5"/>
      <c r="V349" s="5"/>
      <c r="W349" s="5"/>
    </row>
    <row r="350" spans="16:23" x14ac:dyDescent="0.25">
      <c r="P350" s="133"/>
      <c r="Q350" s="5"/>
      <c r="R350" s="5"/>
      <c r="S350" s="5"/>
      <c r="T350" s="5"/>
      <c r="U350" s="5"/>
      <c r="V350" s="5"/>
      <c r="W350" s="5"/>
    </row>
    <row r="351" spans="16:23" x14ac:dyDescent="0.25">
      <c r="P351" s="133"/>
      <c r="Q351" s="5"/>
      <c r="R351" s="5"/>
      <c r="S351" s="5"/>
      <c r="T351" s="5"/>
      <c r="U351" s="5"/>
      <c r="V351" s="5"/>
      <c r="W351" s="5"/>
    </row>
    <row r="352" spans="16:23" x14ac:dyDescent="0.25">
      <c r="P352" s="133"/>
      <c r="Q352" s="5"/>
      <c r="R352" s="5"/>
      <c r="S352" s="5"/>
      <c r="T352" s="5"/>
      <c r="U352" s="5"/>
      <c r="V352" s="5"/>
      <c r="W352" s="5"/>
    </row>
    <row r="353" spans="16:23" x14ac:dyDescent="0.25">
      <c r="P353" s="133"/>
      <c r="Q353" s="5"/>
      <c r="R353" s="5"/>
      <c r="S353" s="5"/>
      <c r="T353" s="5"/>
      <c r="U353" s="5"/>
      <c r="V353" s="5"/>
      <c r="W353" s="5"/>
    </row>
    <row r="354" spans="16:23" x14ac:dyDescent="0.25">
      <c r="P354" s="133"/>
      <c r="Q354" s="5"/>
      <c r="R354" s="5"/>
      <c r="S354" s="5"/>
      <c r="T354" s="5"/>
      <c r="U354" s="5"/>
      <c r="V354" s="5"/>
      <c r="W354" s="5"/>
    </row>
    <row r="355" spans="16:23" x14ac:dyDescent="0.25">
      <c r="P355" s="133"/>
      <c r="Q355" s="5"/>
      <c r="R355" s="5"/>
      <c r="S355" s="5"/>
      <c r="T355" s="5"/>
      <c r="U355" s="5"/>
      <c r="V355" s="5"/>
      <c r="W355" s="5"/>
    </row>
    <row r="356" spans="16:23" x14ac:dyDescent="0.25">
      <c r="P356" s="133"/>
      <c r="Q356" s="5"/>
      <c r="R356" s="5"/>
      <c r="S356" s="5"/>
      <c r="T356" s="5"/>
      <c r="U356" s="5"/>
      <c r="V356" s="5"/>
      <c r="W356" s="5"/>
    </row>
    <row r="357" spans="16:23" x14ac:dyDescent="0.25">
      <c r="P357" s="133"/>
      <c r="Q357" s="5"/>
      <c r="R357" s="5"/>
      <c r="S357" s="5"/>
      <c r="T357" s="5"/>
      <c r="U357" s="5"/>
      <c r="V357" s="5"/>
      <c r="W357" s="5"/>
    </row>
    <row r="358" spans="16:23" x14ac:dyDescent="0.25">
      <c r="P358" s="133"/>
      <c r="Q358" s="5"/>
      <c r="R358" s="5"/>
      <c r="S358" s="5"/>
      <c r="T358" s="5"/>
      <c r="U358" s="5"/>
      <c r="V358" s="5"/>
      <c r="W358" s="5"/>
    </row>
    <row r="359" spans="16:23" x14ac:dyDescent="0.25">
      <c r="P359" s="133"/>
      <c r="Q359" s="5"/>
      <c r="R359" s="5"/>
      <c r="S359" s="5"/>
      <c r="T359" s="5"/>
      <c r="U359" s="5"/>
      <c r="V359" s="5"/>
      <c r="W359" s="5"/>
    </row>
    <row r="360" spans="16:23" x14ac:dyDescent="0.25">
      <c r="P360" s="133"/>
      <c r="Q360" s="5"/>
      <c r="R360" s="5"/>
      <c r="S360" s="5"/>
      <c r="T360" s="5"/>
      <c r="U360" s="5"/>
      <c r="V360" s="5"/>
      <c r="W360" s="5"/>
    </row>
    <row r="361" spans="16:23" x14ac:dyDescent="0.25">
      <c r="P361" s="133"/>
      <c r="Q361" s="5"/>
      <c r="R361" s="5"/>
      <c r="S361" s="5"/>
      <c r="T361" s="5"/>
      <c r="U361" s="5"/>
      <c r="V361" s="5"/>
      <c r="W361" s="5"/>
    </row>
    <row r="362" spans="16:23" x14ac:dyDescent="0.25">
      <c r="P362" s="133"/>
      <c r="Q362" s="5"/>
      <c r="R362" s="5"/>
      <c r="S362" s="5"/>
      <c r="T362" s="5"/>
      <c r="U362" s="5"/>
      <c r="V362" s="5"/>
      <c r="W362" s="5"/>
    </row>
    <row r="363" spans="16:23" x14ac:dyDescent="0.25">
      <c r="P363" s="133"/>
      <c r="Q363" s="5"/>
      <c r="R363" s="5"/>
      <c r="S363" s="5"/>
      <c r="T363" s="5"/>
      <c r="U363" s="5"/>
      <c r="V363" s="5"/>
      <c r="W363" s="5"/>
    </row>
    <row r="364" spans="16:23" x14ac:dyDescent="0.25">
      <c r="P364" s="133"/>
      <c r="Q364" s="5"/>
      <c r="R364" s="5"/>
      <c r="S364" s="5"/>
      <c r="T364" s="5"/>
      <c r="U364" s="5"/>
      <c r="V364" s="5"/>
      <c r="W364" s="5"/>
    </row>
    <row r="365" spans="16:23" x14ac:dyDescent="0.25">
      <c r="P365" s="133"/>
      <c r="Q365" s="5"/>
      <c r="R365" s="5"/>
      <c r="S365" s="5"/>
      <c r="T365" s="5"/>
      <c r="U365" s="5"/>
      <c r="V365" s="5"/>
      <c r="W365" s="5"/>
    </row>
    <row r="366" spans="16:23" x14ac:dyDescent="0.25">
      <c r="P366" s="133"/>
      <c r="Q366" s="5"/>
      <c r="R366" s="5"/>
      <c r="S366" s="5"/>
      <c r="T366" s="5"/>
      <c r="U366" s="5"/>
      <c r="V366" s="5"/>
      <c r="W366" s="5"/>
    </row>
    <row r="367" spans="16:23" x14ac:dyDescent="0.25">
      <c r="P367" s="133"/>
      <c r="Q367" s="5"/>
      <c r="R367" s="5"/>
      <c r="S367" s="5"/>
      <c r="T367" s="5"/>
      <c r="U367" s="5"/>
      <c r="V367" s="5"/>
      <c r="W367" s="5"/>
    </row>
    <row r="368" spans="16:23" x14ac:dyDescent="0.25">
      <c r="P368" s="133"/>
      <c r="Q368" s="5"/>
      <c r="R368" s="5"/>
      <c r="S368" s="5"/>
      <c r="T368" s="5"/>
      <c r="U368" s="5"/>
      <c r="V368" s="5"/>
      <c r="W368" s="5"/>
    </row>
    <row r="369" spans="16:23" x14ac:dyDescent="0.25">
      <c r="P369" s="133"/>
      <c r="Q369" s="5"/>
      <c r="R369" s="5"/>
      <c r="S369" s="5"/>
      <c r="T369" s="5"/>
      <c r="U369" s="5"/>
      <c r="V369" s="5"/>
      <c r="W369" s="5"/>
    </row>
    <row r="370" spans="16:23" x14ac:dyDescent="0.25">
      <c r="P370" s="133"/>
      <c r="Q370" s="5"/>
      <c r="R370" s="5"/>
      <c r="S370" s="5"/>
      <c r="T370" s="5"/>
      <c r="U370" s="5"/>
      <c r="V370" s="5"/>
      <c r="W370" s="5"/>
    </row>
    <row r="371" spans="16:23" x14ac:dyDescent="0.25">
      <c r="P371" s="133"/>
      <c r="Q371" s="5"/>
      <c r="R371" s="5"/>
      <c r="S371" s="5"/>
      <c r="T371" s="5"/>
      <c r="U371" s="5"/>
      <c r="V371" s="5"/>
      <c r="W371" s="5"/>
    </row>
    <row r="372" spans="16:23" x14ac:dyDescent="0.25">
      <c r="P372" s="133"/>
      <c r="Q372" s="5"/>
      <c r="R372" s="5"/>
      <c r="S372" s="5"/>
      <c r="T372" s="5"/>
      <c r="U372" s="5"/>
      <c r="V372" s="5"/>
      <c r="W372" s="5"/>
    </row>
    <row r="373" spans="16:23" x14ac:dyDescent="0.25">
      <c r="P373" s="133"/>
      <c r="Q373" s="5"/>
      <c r="R373" s="5"/>
      <c r="S373" s="5"/>
      <c r="T373" s="5"/>
      <c r="U373" s="5"/>
      <c r="V373" s="5"/>
      <c r="W373" s="5"/>
    </row>
    <row r="374" spans="16:23" x14ac:dyDescent="0.25">
      <c r="P374" s="133"/>
      <c r="Q374" s="5"/>
      <c r="R374" s="5"/>
      <c r="S374" s="5"/>
      <c r="T374" s="5"/>
      <c r="U374" s="5"/>
      <c r="V374" s="5"/>
      <c r="W374" s="5"/>
    </row>
    <row r="375" spans="16:23" x14ac:dyDescent="0.25">
      <c r="P375" s="133"/>
      <c r="Q375" s="5"/>
      <c r="R375" s="5"/>
      <c r="S375" s="5"/>
      <c r="T375" s="5"/>
      <c r="U375" s="5"/>
      <c r="V375" s="5"/>
      <c r="W375" s="5"/>
    </row>
    <row r="376" spans="16:23" x14ac:dyDescent="0.25">
      <c r="P376" s="133"/>
      <c r="Q376" s="5"/>
      <c r="R376" s="5"/>
      <c r="S376" s="5"/>
      <c r="T376" s="5"/>
      <c r="U376" s="5"/>
      <c r="V376" s="5"/>
      <c r="W376" s="5"/>
    </row>
    <row r="377" spans="16:23" x14ac:dyDescent="0.25">
      <c r="P377" s="133"/>
      <c r="Q377" s="5"/>
      <c r="R377" s="5"/>
      <c r="S377" s="5"/>
      <c r="T377" s="5"/>
      <c r="U377" s="5"/>
      <c r="V377" s="5"/>
      <c r="W377" s="5"/>
    </row>
    <row r="378" spans="16:23" x14ac:dyDescent="0.25">
      <c r="P378" s="133"/>
      <c r="Q378" s="5"/>
      <c r="R378" s="5"/>
      <c r="S378" s="5"/>
      <c r="T378" s="5"/>
      <c r="U378" s="5"/>
      <c r="V378" s="5"/>
      <c r="W378" s="5"/>
    </row>
    <row r="379" spans="16:23" x14ac:dyDescent="0.25">
      <c r="P379" s="133"/>
      <c r="Q379" s="5"/>
      <c r="R379" s="5"/>
      <c r="S379" s="5"/>
      <c r="T379" s="5"/>
      <c r="U379" s="5"/>
      <c r="V379" s="5"/>
      <c r="W379" s="5"/>
    </row>
    <row r="380" spans="16:23" x14ac:dyDescent="0.25">
      <c r="P380" s="133"/>
      <c r="Q380" s="5"/>
      <c r="R380" s="5"/>
      <c r="S380" s="5"/>
      <c r="T380" s="5"/>
      <c r="U380" s="5"/>
      <c r="V380" s="5"/>
      <c r="W380" s="5"/>
    </row>
    <row r="381" spans="16:23" x14ac:dyDescent="0.25">
      <c r="P381" s="133"/>
      <c r="Q381" s="5"/>
      <c r="R381" s="5"/>
      <c r="S381" s="5"/>
      <c r="T381" s="5"/>
      <c r="U381" s="5"/>
      <c r="V381" s="5"/>
      <c r="W381" s="5"/>
    </row>
    <row r="382" spans="16:23" x14ac:dyDescent="0.25">
      <c r="P382" s="133"/>
      <c r="Q382" s="5"/>
      <c r="R382" s="5"/>
      <c r="S382" s="5"/>
      <c r="T382" s="5"/>
      <c r="U382" s="5"/>
      <c r="V382" s="5"/>
      <c r="W382" s="5"/>
    </row>
    <row r="383" spans="16:23" x14ac:dyDescent="0.25">
      <c r="P383" s="133"/>
      <c r="Q383" s="5"/>
      <c r="R383" s="5"/>
      <c r="S383" s="5"/>
      <c r="T383" s="5"/>
      <c r="U383" s="5"/>
      <c r="V383" s="5"/>
      <c r="W383" s="5"/>
    </row>
    <row r="384" spans="16:23" x14ac:dyDescent="0.25">
      <c r="P384" s="133"/>
      <c r="Q384" s="5"/>
      <c r="R384" s="5"/>
      <c r="S384" s="5"/>
      <c r="T384" s="5"/>
      <c r="U384" s="5"/>
      <c r="V384" s="5"/>
      <c r="W384" s="5"/>
    </row>
    <row r="385" spans="16:23" x14ac:dyDescent="0.25">
      <c r="P385" s="133"/>
      <c r="Q385" s="5"/>
      <c r="R385" s="5"/>
      <c r="S385" s="5"/>
      <c r="T385" s="5"/>
      <c r="U385" s="5"/>
      <c r="V385" s="5"/>
      <c r="W385" s="5"/>
    </row>
    <row r="386" spans="16:23" x14ac:dyDescent="0.25">
      <c r="P386" s="133"/>
      <c r="Q386" s="5"/>
      <c r="R386" s="5"/>
      <c r="S386" s="5"/>
      <c r="T386" s="5"/>
      <c r="U386" s="5"/>
      <c r="V386" s="5"/>
      <c r="W386" s="5"/>
    </row>
    <row r="387" spans="16:23" x14ac:dyDescent="0.25">
      <c r="P387" s="133"/>
      <c r="Q387" s="5"/>
      <c r="R387" s="5"/>
      <c r="S387" s="5"/>
      <c r="T387" s="5"/>
      <c r="U387" s="5"/>
      <c r="V387" s="5"/>
      <c r="W387" s="5"/>
    </row>
    <row r="388" spans="16:23" x14ac:dyDescent="0.25">
      <c r="P388" s="133"/>
      <c r="Q388" s="5"/>
      <c r="R388" s="5"/>
      <c r="S388" s="5"/>
      <c r="T388" s="5"/>
      <c r="U388" s="5"/>
      <c r="V388" s="5"/>
      <c r="W388" s="5"/>
    </row>
    <row r="389" spans="16:23" x14ac:dyDescent="0.25">
      <c r="P389" s="133"/>
      <c r="Q389" s="5"/>
      <c r="R389" s="5"/>
      <c r="S389" s="5"/>
      <c r="T389" s="5"/>
      <c r="U389" s="5"/>
      <c r="V389" s="5"/>
      <c r="W389" s="5"/>
    </row>
    <row r="390" spans="16:23" x14ac:dyDescent="0.25">
      <c r="P390" s="133"/>
      <c r="Q390" s="5"/>
      <c r="R390" s="5"/>
      <c r="S390" s="5"/>
      <c r="T390" s="5"/>
      <c r="U390" s="5"/>
      <c r="V390" s="5"/>
      <c r="W390" s="5"/>
    </row>
    <row r="391" spans="16:23" x14ac:dyDescent="0.25">
      <c r="P391" s="133"/>
      <c r="Q391" s="5"/>
      <c r="R391" s="5"/>
      <c r="S391" s="5"/>
      <c r="T391" s="5"/>
      <c r="U391" s="5"/>
      <c r="V391" s="5"/>
      <c r="W391" s="5"/>
    </row>
    <row r="392" spans="16:23" x14ac:dyDescent="0.25">
      <c r="P392" s="133"/>
      <c r="Q392" s="5"/>
      <c r="R392" s="5"/>
      <c r="S392" s="5"/>
      <c r="T392" s="5"/>
      <c r="U392" s="5"/>
      <c r="V392" s="5"/>
      <c r="W392" s="5"/>
    </row>
    <row r="393" spans="16:23" x14ac:dyDescent="0.25">
      <c r="P393" s="133"/>
      <c r="Q393" s="5"/>
      <c r="R393" s="5"/>
      <c r="S393" s="5"/>
      <c r="T393" s="5"/>
      <c r="U393" s="5"/>
      <c r="V393" s="5"/>
      <c r="W393" s="5"/>
    </row>
  </sheetData>
  <pageMargins left="0.19685039370078741" right="0.19685039370078741" top="0.59055118110236227" bottom="0.59055118110236227" header="0.19685039370078741" footer="0.19685039370078741"/>
  <pageSetup paperSize="9" scale="68" orientation="landscape" r:id="rId1"/>
  <headerFooter alignWithMargins="0">
    <oddHeader>&amp;C&amp;16PRORAČUN OPĆINE NUŠTAR ZA 2018. GODINU - PRIHODI SVE STAVKE</oddHeader>
    <oddFooter>&amp;LNuštar, . kolovoz 2014.&amp;R&amp;P</oddFooter>
  </headerFooter>
  <colBreaks count="1" manualBreakCount="1">
    <brk id="10" max="10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9</vt:i4>
      </vt:variant>
    </vt:vector>
  </HeadingPairs>
  <TitlesOfParts>
    <vt:vector size="19" baseType="lpstr">
      <vt:lpstr>SAŽETAK</vt:lpstr>
      <vt:lpstr>PRIHODI-RASHODI ek. klasifikaci</vt:lpstr>
      <vt:lpstr>PRIHODI-RASHODI izv. financira</vt:lpstr>
      <vt:lpstr>RASHODI funk. klasifikacija</vt:lpstr>
      <vt:lpstr>račun fin.-ekonomska</vt:lpstr>
      <vt:lpstr>račun fin.-izvori</vt:lpstr>
      <vt:lpstr>Posebni dio - org. klas.</vt:lpstr>
      <vt:lpstr>Posebni dio - prog. klas.</vt:lpstr>
      <vt:lpstr>PRIHODI ZA VIJEĆE </vt:lpstr>
      <vt:lpstr>RASHODI ZA VIJEĆE</vt:lpstr>
      <vt:lpstr>'Posebni dio - org. klas.'!Podrucje_ispisa</vt:lpstr>
      <vt:lpstr>'Posebni dio - prog. klas.'!Podrucje_ispisa</vt:lpstr>
      <vt:lpstr>'PRIHODI ZA VIJEĆE '!Podrucje_ispisa</vt:lpstr>
      <vt:lpstr>'PRIHODI-RASHODI ek. klasifikaci'!Podrucje_ispisa</vt:lpstr>
      <vt:lpstr>'PRIHODI-RASHODI izv. financira'!Podrucje_ispisa</vt:lpstr>
      <vt:lpstr>'račun fin.-izvori'!Podrucje_ispisa</vt:lpstr>
      <vt:lpstr>'RASHODI funk. klasifikacija'!Podrucje_ispisa</vt:lpstr>
      <vt:lpstr>'RASHODI ZA VIJEĆE'!Podrucje_ispisa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Općina Nuštar</cp:lastModifiedBy>
  <cp:lastPrinted>2024-03-21T07:25:23Z</cp:lastPrinted>
  <dcterms:created xsi:type="dcterms:W3CDTF">2013-12-02T11:35:05Z</dcterms:created>
  <dcterms:modified xsi:type="dcterms:W3CDTF">2024-08-19T06:40:56Z</dcterms:modified>
</cp:coreProperties>
</file>